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90" windowHeight="12225" activeTab="5"/>
  </bookViews>
  <sheets>
    <sheet name="Меню" sheetId="1" r:id="rId1"/>
    <sheet name="накопительная" sheetId="2" r:id="rId2"/>
    <sheet name="Ценность " sheetId="3" r:id="rId3"/>
    <sheet name="рацион питания" sheetId="4" r:id="rId4"/>
    <sheet name="объема" sheetId="5" r:id="rId5"/>
    <sheet name="проверка" sheetId="6" r:id="rId6"/>
  </sheets>
  <externalReferences>
    <externalReference r:id="rId9"/>
  </externalReferences>
  <definedNames>
    <definedName name="_xlnm._FilterDatabase" localSheetId="0" hidden="1">'Меню'!$A$1:$A$1192</definedName>
  </definedNames>
  <calcPr fullCalcOnLoad="1"/>
</workbook>
</file>

<file path=xl/sharedStrings.xml><?xml version="1.0" encoding="utf-8"?>
<sst xmlns="http://schemas.openxmlformats.org/spreadsheetml/2006/main" count="1674" uniqueCount="512">
  <si>
    <t>Наименование блюда</t>
  </si>
  <si>
    <t>Белки, г</t>
  </si>
  <si>
    <t>Жиры, г</t>
  </si>
  <si>
    <t>ЭЦ, ккал</t>
  </si>
  <si>
    <t>сахар</t>
  </si>
  <si>
    <t>Химический состав</t>
  </si>
  <si>
    <t>Брутто, г</t>
  </si>
  <si>
    <t>Нетто, г</t>
  </si>
  <si>
    <t>Выход, г</t>
  </si>
  <si>
    <t>Угл. г</t>
  </si>
  <si>
    <t>хлеб пшеничный</t>
  </si>
  <si>
    <t>масло растительное</t>
  </si>
  <si>
    <t>картофель - 01.09.-31.10.- 25%</t>
  </si>
  <si>
    <t>01.11.-31.12. -30%</t>
  </si>
  <si>
    <t>01.01-29.02 - 35%</t>
  </si>
  <si>
    <t>01.03 - 40%</t>
  </si>
  <si>
    <t>с 01.01 - 25%</t>
  </si>
  <si>
    <t>свекла до 01.01 -20%</t>
  </si>
  <si>
    <t>лук репчатый</t>
  </si>
  <si>
    <t>масло сливочное</t>
  </si>
  <si>
    <t>Хлеб пшеничный</t>
  </si>
  <si>
    <t>мука пшеничная</t>
  </si>
  <si>
    <t>сухари</t>
  </si>
  <si>
    <t>крупа рисовая</t>
  </si>
  <si>
    <t>ИТОГО:</t>
  </si>
  <si>
    <t>творог</t>
  </si>
  <si>
    <t>чай-заварка</t>
  </si>
  <si>
    <t>Хлеб ржаной</t>
  </si>
  <si>
    <t>Хлеб пшеничный *</t>
  </si>
  <si>
    <t>Мука *</t>
  </si>
  <si>
    <t>Картофель</t>
  </si>
  <si>
    <t>Овощи, зелень</t>
  </si>
  <si>
    <t>Фрукты свежие</t>
  </si>
  <si>
    <t>Фрукты сухие</t>
  </si>
  <si>
    <t>Сахар</t>
  </si>
  <si>
    <t>Соки</t>
  </si>
  <si>
    <t>Кондитерские изделия</t>
  </si>
  <si>
    <t>Чай</t>
  </si>
  <si>
    <t xml:space="preserve">Мясо </t>
  </si>
  <si>
    <t>Цыплята 1 категории</t>
  </si>
  <si>
    <t xml:space="preserve">колбаса </t>
  </si>
  <si>
    <t>Рыба (сельдь)</t>
  </si>
  <si>
    <t>Молоко, кисломол.пр-ты</t>
  </si>
  <si>
    <t>Творог</t>
  </si>
  <si>
    <t>Сметана</t>
  </si>
  <si>
    <t>Сыр, сыр плавленный,брынза</t>
  </si>
  <si>
    <t>Масло сливочное</t>
  </si>
  <si>
    <t>Масло растительное</t>
  </si>
  <si>
    <t>Яйцо куриное</t>
  </si>
  <si>
    <t>100/5</t>
  </si>
  <si>
    <t>№</t>
  </si>
  <si>
    <t>% выполнения</t>
  </si>
  <si>
    <t>Дни</t>
  </si>
  <si>
    <t>Крупы, бобовые, макароны</t>
  </si>
  <si>
    <t>Какао</t>
  </si>
  <si>
    <t>масло сливочное на полив</t>
  </si>
  <si>
    <t>или молоко концентрированное</t>
  </si>
  <si>
    <t>или молоко сухое</t>
  </si>
  <si>
    <t>дрожжи прессованные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</si>
  <si>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</si>
  <si>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</si>
  <si>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</si>
  <si>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</si>
  <si>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</si>
  <si>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</si>
  <si>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</si>
  <si>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</si>
  <si>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</si>
  <si>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</si>
  <si>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Фактически получено, г</t>
  </si>
  <si>
    <t>молоко питьевое</t>
  </si>
  <si>
    <t>соль йодированная</t>
  </si>
  <si>
    <t>томатное пюре (без искусственных ароматизаторов, красителей и консервантов)</t>
  </si>
  <si>
    <t>120/5</t>
  </si>
  <si>
    <t>какао - порошок</t>
  </si>
  <si>
    <t>капуста белокочанная свежая</t>
  </si>
  <si>
    <t>сметана</t>
  </si>
  <si>
    <t>ОБЕД</t>
  </si>
  <si>
    <t>крупа манная</t>
  </si>
  <si>
    <t>горох лущёный</t>
  </si>
  <si>
    <t xml:space="preserve">сыр </t>
  </si>
  <si>
    <t>морковь до 01.01.-20%</t>
  </si>
  <si>
    <t>дрожжи</t>
  </si>
  <si>
    <t>или мука пшеничная</t>
  </si>
  <si>
    <t>вода питьевая</t>
  </si>
  <si>
    <t>Обед</t>
  </si>
  <si>
    <t>250/10</t>
  </si>
  <si>
    <t>Макаронные изделия</t>
  </si>
  <si>
    <t>Крупы, бобовые</t>
  </si>
  <si>
    <t xml:space="preserve"> 2 день</t>
  </si>
  <si>
    <t>250/20/10</t>
  </si>
  <si>
    <t xml:space="preserve"> 1 день</t>
  </si>
  <si>
    <t xml:space="preserve"> 3 день</t>
  </si>
  <si>
    <t xml:space="preserve"> 4 день </t>
  </si>
  <si>
    <t xml:space="preserve"> 5 день</t>
  </si>
  <si>
    <t>ИЛИ</t>
  </si>
  <si>
    <t>Дрожжи хлебопекарные</t>
  </si>
  <si>
    <t>зелень сушеная (петрушка, укроп)</t>
  </si>
  <si>
    <t>курага</t>
  </si>
  <si>
    <t>Сыр, сыр плавленый, брынза</t>
  </si>
  <si>
    <t>или хлеб витаминизированный</t>
  </si>
  <si>
    <t>масло растительное на полив при подаче</t>
  </si>
  <si>
    <t>или помидоры свежие парниковые</t>
  </si>
  <si>
    <t>шиповник</t>
  </si>
  <si>
    <t>кислом</t>
  </si>
  <si>
    <t>крупа гречневая</t>
  </si>
  <si>
    <t>кисл</t>
  </si>
  <si>
    <t>молоко сгущенное с сахаром</t>
  </si>
  <si>
    <t xml:space="preserve"> минтай потрошенный обезглавленный (филе с кожей без костей)</t>
  </si>
  <si>
    <t>яйцо куриное</t>
  </si>
  <si>
    <t>или ряпушка неразделанная</t>
  </si>
  <si>
    <t>говядина 1 категории</t>
  </si>
  <si>
    <t>или говядина полуфабрикат</t>
  </si>
  <si>
    <t>яйцо куриное для смазки изделия</t>
  </si>
  <si>
    <t>Количество продуктов в г, мл, нетто*</t>
  </si>
  <si>
    <t>масса готовой запеканки</t>
  </si>
  <si>
    <t>масса тушеной курицы (порционные кусочки)</t>
  </si>
  <si>
    <t>масса тушеного филе (мякоть)</t>
  </si>
  <si>
    <t>%</t>
  </si>
  <si>
    <t>Фрукты в ассортименте</t>
  </si>
  <si>
    <t>мука пшеничная на подпыл</t>
  </si>
  <si>
    <t>масса тушеного мяса</t>
  </si>
  <si>
    <t>масло сливочное на смазку</t>
  </si>
  <si>
    <t xml:space="preserve"> огурцы свежие парниковые</t>
  </si>
  <si>
    <t>помидоры свежие парниковые</t>
  </si>
  <si>
    <t>или помидоры свежие  грунтовые</t>
  </si>
  <si>
    <t>масло сливочное для смазки листа</t>
  </si>
  <si>
    <t>масса готового суфле</t>
  </si>
  <si>
    <t>Наименование продуктов</t>
  </si>
  <si>
    <t>Норма продуктов в день на 1 ребенка в г, мл (нетто) при двухразовом питании (обед, полдник) в течении 10 дней</t>
  </si>
  <si>
    <t>% процент</t>
  </si>
  <si>
    <t>УТВЕРЖДАЮ:</t>
  </si>
  <si>
    <t>ЗАВТРАК</t>
  </si>
  <si>
    <t>Завтрак</t>
  </si>
  <si>
    <t>кофейный напиток</t>
  </si>
  <si>
    <t xml:space="preserve">лук репчатый </t>
  </si>
  <si>
    <t>курица потрошеная 1 категории охлажденная (разделка на мякоть без кожи)</t>
  </si>
  <si>
    <t>масса отварной птицы (мякоть)</t>
  </si>
  <si>
    <t>или помидоры консервированные без уксуса</t>
  </si>
  <si>
    <t>100/50</t>
  </si>
  <si>
    <t>масса припущенного с маслом лука</t>
  </si>
  <si>
    <t>или огурцы свежие грунтовые</t>
  </si>
  <si>
    <t>131</t>
  </si>
  <si>
    <t>масса готового омлета</t>
  </si>
  <si>
    <t>горошек зеленый консервированный (после термической обработки)</t>
  </si>
  <si>
    <t>или кукуруза консервированная (после термической обработки)</t>
  </si>
  <si>
    <t>крупа пшеничная</t>
  </si>
  <si>
    <t>30/30</t>
  </si>
  <si>
    <t>вишня</t>
  </si>
  <si>
    <t>или говядина 1 категории</t>
  </si>
  <si>
    <t>120/50</t>
  </si>
  <si>
    <t>чеснок свежий</t>
  </si>
  <si>
    <t>консервы рыбные в собственном соку или с добавлением масла</t>
  </si>
  <si>
    <t xml:space="preserve">огурцы консервированные  без уксуса </t>
  </si>
  <si>
    <t>крупа (перловая, или рисовая)</t>
  </si>
  <si>
    <t>молоко сухое</t>
  </si>
  <si>
    <t xml:space="preserve"> </t>
  </si>
  <si>
    <t>фасоль</t>
  </si>
  <si>
    <t>или грудка куриная  охлажденная (разделка на мякоть без кожи)</t>
  </si>
  <si>
    <t xml:space="preserve">курица потрошеная 1 категории охлажденная </t>
  </si>
  <si>
    <t xml:space="preserve">или филе куриное охлажденное промышленного производства </t>
  </si>
  <si>
    <t>или окорочок куриный охлажденный</t>
  </si>
  <si>
    <t xml:space="preserve">Хлеб пшеничный </t>
  </si>
  <si>
    <t>сельдь слабого посола (пресервы)</t>
  </si>
  <si>
    <t>батон</t>
  </si>
  <si>
    <t>250/5/15</t>
  </si>
  <si>
    <t>фрикадельки мясные №112-2004</t>
  </si>
  <si>
    <t>250/15</t>
  </si>
  <si>
    <t>250/15/5</t>
  </si>
  <si>
    <t>814-950</t>
  </si>
  <si>
    <t>лимон</t>
  </si>
  <si>
    <t>200/7</t>
  </si>
  <si>
    <t xml:space="preserve">сухари </t>
  </si>
  <si>
    <t xml:space="preserve">масло растительное </t>
  </si>
  <si>
    <t>сахар для отделки</t>
  </si>
  <si>
    <t>ванилин</t>
  </si>
  <si>
    <t>апельсины</t>
  </si>
  <si>
    <t>фрикадельки</t>
  </si>
  <si>
    <t>или горбуша или кета потрошенная с головой (филе с кожей без костей)</t>
  </si>
  <si>
    <t>или горбуша или кета неразделанная  (филе с кожей без  костей)</t>
  </si>
  <si>
    <t>или горбуша или кета неразделанная  (филе без кожи и костей)</t>
  </si>
  <si>
    <t>минтай потрошенный обезглавленный (филе с кожей без костей)</t>
  </si>
  <si>
    <t>отвар картофельный</t>
  </si>
  <si>
    <t>яблоки свежие (очищенные от кожицы с удаленным семенным гнездом)</t>
  </si>
  <si>
    <t>крупа пшено</t>
  </si>
  <si>
    <t>вода кипяченая для  восстановления молока концентрированного</t>
  </si>
  <si>
    <t>вода кипяченая для  восстановления молока сухого</t>
  </si>
  <si>
    <t xml:space="preserve">или грудка куриная  охлажденная </t>
  </si>
  <si>
    <t>макаронные изделия группы А</t>
  </si>
  <si>
    <t>250/10/5</t>
  </si>
  <si>
    <t>Факт в день, г</t>
  </si>
  <si>
    <t>Количество продуктов в г, мл, нетто при двухразовом питании  (завтрак, обед)</t>
  </si>
  <si>
    <t xml:space="preserve">Мука пшеничная </t>
  </si>
  <si>
    <t>Норма продуктов в день на 1 ребенка г, мл, нетто при двухразовом питании  (завтрак, обед)</t>
  </si>
  <si>
    <t>яблоки свежие (с удаленным семенным гнездом)</t>
  </si>
  <si>
    <t>говядина полуфабрикат</t>
  </si>
  <si>
    <t>масло растительное для смазки листа</t>
  </si>
  <si>
    <t>фасоль консервированная в собственном соку</t>
  </si>
  <si>
    <t>30/10</t>
  </si>
  <si>
    <t xml:space="preserve">  и горбуша или кета потрошенная с головой (филе без кожи и костей)</t>
  </si>
  <si>
    <t>и горбуша или кета потрошенная с головой (филе без кожи и костей)</t>
  </si>
  <si>
    <t>масса свеклы вареной очищенной</t>
  </si>
  <si>
    <t>мука пшеничная или сухари</t>
  </si>
  <si>
    <t>Сок  в ассортименте</t>
  </si>
  <si>
    <t>или помидоры свежие грунтовые</t>
  </si>
  <si>
    <t>клюква свежемороженая</t>
  </si>
  <si>
    <t>урюк</t>
  </si>
  <si>
    <t>30/20/5</t>
  </si>
  <si>
    <t>Итого в среднем за день</t>
  </si>
  <si>
    <t xml:space="preserve">Хлеб ржаной </t>
  </si>
  <si>
    <t xml:space="preserve">Макаронные изделия </t>
  </si>
  <si>
    <t>Сухофрукты</t>
  </si>
  <si>
    <t>Кофейный напиток</t>
  </si>
  <si>
    <t>Мясо 1-й категории</t>
  </si>
  <si>
    <t>Субпродукты (печень, язык, сердце)</t>
  </si>
  <si>
    <t>Птица (цыплята-бройлеры потрошенные - 1 кат.)</t>
  </si>
  <si>
    <t xml:space="preserve">Рыба (филе), в т.ч. филе слабо или малосоленое </t>
  </si>
  <si>
    <t>Молоко</t>
  </si>
  <si>
    <t>Кисломолочная пищевая продукция</t>
  </si>
  <si>
    <t>Творог (5%-9% м.д.ж.)</t>
  </si>
  <si>
    <t xml:space="preserve">Сметана </t>
  </si>
  <si>
    <t xml:space="preserve">Сыр </t>
  </si>
  <si>
    <t>Яйцо, шт.</t>
  </si>
  <si>
    <t>Специи</t>
  </si>
  <si>
    <t>Соль пищевая поваренная йодированная</t>
  </si>
  <si>
    <t xml:space="preserve">Суточная потребность 
СанПиН 2.3/2.4.3590-20 
(2720 ккал)** </t>
  </si>
  <si>
    <t>Итого, ккал</t>
  </si>
  <si>
    <t>20-25 % от суточного рациона</t>
  </si>
  <si>
    <t xml:space="preserve"> 30-35% от суточного рациона</t>
  </si>
  <si>
    <t>50 - 60% от суточного рациона</t>
  </si>
  <si>
    <t>544-680</t>
  </si>
  <si>
    <t>1360/1632</t>
  </si>
  <si>
    <t>ИТОГО в среднем за неделю</t>
  </si>
  <si>
    <t>*Приложение 10, Таблица 3 СанПиН 2.3/2.4.3590-20 "Санитарно- эпидемиологические требования к организации общественного питания населения"</t>
  </si>
  <si>
    <t>**Приложение 10, Таблица 1 СанПиН 2.3/2.4.3590-20 "Санитарно- эпидемиологические требования к организации общественного питания населения"</t>
  </si>
  <si>
    <t xml:space="preserve">Распределение энергетической ценности  (калорийности) на отдельные приемы пищи  для  детей  с 12 лет и старше                                                                            </t>
  </si>
  <si>
    <t>Суммарные объемы блюд по приемам пищи для детей с 12 лет и старше (не менее)</t>
  </si>
  <si>
    <t>Приложение №9, таблица 3 
к СанПиН 2.3/2.4.3590-20</t>
  </si>
  <si>
    <t>Завтрак, грамм</t>
  </si>
  <si>
    <t>Обед, грамм</t>
  </si>
  <si>
    <t>550</t>
  </si>
  <si>
    <t>800</t>
  </si>
  <si>
    <t>Меню приготавливаемых блюд 
завтрак, обед</t>
  </si>
  <si>
    <t>Возрастная категория: с 12 лет и старше</t>
  </si>
  <si>
    <t>Меню содержит обязательные вложения - титульный лист, аннотацию, накопительную ведомость, 
таблицу распределения энергетической ценности  (калорийности) на отдельные приемы пищи,
 таблицу суммарных объемов блюд по приемам пищи (в граммах  - не менее)</t>
  </si>
  <si>
    <t>№ рецептуры</t>
  </si>
  <si>
    <t>ИТОГО ПОТРЕБЛЕНИЕ ПИЩЕВЫХ ВЕЩЕСТВ ЗА НЕДЕЛЮ (завтрак, обед):</t>
  </si>
  <si>
    <t>При двухразовом питании (завтрак, обед)</t>
  </si>
  <si>
    <t>НОРМА ПИЩЕВЫХ ВЕЩЕСТВ И ЭНЕРГИИ ЗА НЕДЕЛЮ (завтрак, обед)(50-60%):</t>
  </si>
  <si>
    <t>45-54</t>
  </si>
  <si>
    <t>46-55</t>
  </si>
  <si>
    <t>192-230</t>
  </si>
  <si>
    <t>1360-1632</t>
  </si>
  <si>
    <t>НОРМА ПИЩЕВЫХ ВЕЩЕСТВ И ЭНЕРГИИ ЗА НЕДЕЛЮ (100%)*:</t>
  </si>
  <si>
    <t>* Нормы питания в соответствии с СанПиН 2.3/2.4.3590-20 "Санитарно- эпидемиологические требования к организации общественного питания населения", Приложение 7, Таблица 2 "Среднесуточные наборы пищевой  продукции для организации питания детей от 7 до 18 лет (в нетто г., мл. на 1 ребенка в сутки)"</t>
  </si>
  <si>
    <t>** Количество потребленных продуктов округлено до целого числа</t>
  </si>
  <si>
    <t>* - среднесуточные нормы продуктов питания указаны в соответствии с СанПиН 2.3/2.4.3590-20 "Санитарно- эпидемиологические требования к организации общественного питания населения", Приложение 7, Таблица 2 "Среднесуточные наборы пищевой  продукции для организации питания детей от 7 до 18 лет (в нетто г., мл. на 1 ребенка в сутки)"</t>
  </si>
  <si>
    <t>кофей</t>
  </si>
  <si>
    <t>кофе</t>
  </si>
  <si>
    <t xml:space="preserve">Кофейный напиток </t>
  </si>
  <si>
    <t>№253-2004, Пермь</t>
  </si>
  <si>
    <t>Каша "Янтарная" (из пшена с яблоками)</t>
  </si>
  <si>
    <t xml:space="preserve">Бутерброд с маслом и сыром </t>
  </si>
  <si>
    <t>№1,3-2004</t>
  </si>
  <si>
    <t>№311-2004</t>
  </si>
  <si>
    <t>№269-2013, Пермь</t>
  </si>
  <si>
    <t>масса каши</t>
  </si>
  <si>
    <t>для сиропа:</t>
  </si>
  <si>
    <t>масса яблок припущенных с сиропом</t>
  </si>
  <si>
    <t xml:space="preserve"> №458-2006, Москва</t>
  </si>
  <si>
    <t>№ 694-2004</t>
  </si>
  <si>
    <t xml:space="preserve">Фрукты в ассортименте </t>
  </si>
  <si>
    <t>№458-2006, Москва</t>
  </si>
  <si>
    <t xml:space="preserve">Щи из свежей капусты с картофелем, с мясными фрикадельками со сметаной  </t>
  </si>
  <si>
    <t xml:space="preserve"> №124-2004</t>
  </si>
  <si>
    <t>№152-2004, Пермь</t>
  </si>
  <si>
    <t>№518-2013, Пермь</t>
  </si>
  <si>
    <t>№2/10-2011, Екатеринбург</t>
  </si>
  <si>
    <t>№ 15/1-2011г., Екатеринбург</t>
  </si>
  <si>
    <t xml:space="preserve">Плов из говядины </t>
  </si>
  <si>
    <t>№443-2004</t>
  </si>
  <si>
    <t>№406-2013, Пермь</t>
  </si>
  <si>
    <t xml:space="preserve">Плов из птицы  </t>
  </si>
  <si>
    <t xml:space="preserve">Булочка российская </t>
  </si>
  <si>
    <t>№775-2004</t>
  </si>
  <si>
    <t>№685-2004</t>
  </si>
  <si>
    <t xml:space="preserve">Чай с сахаром </t>
  </si>
  <si>
    <t>Винегрет овощной с фасолью</t>
  </si>
  <si>
    <t>№76-2013, Пермь</t>
  </si>
  <si>
    <t xml:space="preserve">Котлеты   из мяса  с маслом </t>
  </si>
  <si>
    <t>№451-2004</t>
  </si>
  <si>
    <t>Компот из урюка</t>
  </si>
  <si>
    <t>№638-2004</t>
  </si>
  <si>
    <t xml:space="preserve">молоко питьевое </t>
  </si>
  <si>
    <t xml:space="preserve">Биточки   из мяса  с маслом </t>
  </si>
  <si>
    <t>Пюре картофельное</t>
  </si>
  <si>
    <t xml:space="preserve"> №520-2004</t>
  </si>
  <si>
    <t xml:space="preserve">Сок  в ассортименте </t>
  </si>
  <si>
    <t xml:space="preserve">Макаронные изделия отварные </t>
  </si>
  <si>
    <t>№516-2004</t>
  </si>
  <si>
    <t xml:space="preserve">Суфле творожное с молоком сгущенным </t>
  </si>
  <si>
    <t xml:space="preserve">№365-2004 </t>
  </si>
  <si>
    <t>Бутерброд с маслом</t>
  </si>
  <si>
    <t xml:space="preserve"> №1-2004</t>
  </si>
  <si>
    <t xml:space="preserve">Чай с лимоном </t>
  </si>
  <si>
    <t xml:space="preserve">№686-2004 </t>
  </si>
  <si>
    <t>№698-2004</t>
  </si>
  <si>
    <t xml:space="preserve">Салат из капусты белокочанной с морковью </t>
  </si>
  <si>
    <t>№4-2013, Пермь</t>
  </si>
  <si>
    <t>капуста белокочанная</t>
  </si>
  <si>
    <t>капуста и морковь старого урожая используется в сыром виде до 1 марта, с 1 марта только капуста или морковь нового урожая или другой салат</t>
  </si>
  <si>
    <t xml:space="preserve">кислота лимонная </t>
  </si>
  <si>
    <t>вода для разведения лимонной кислоты</t>
  </si>
  <si>
    <t xml:space="preserve"> №129-1996</t>
  </si>
  <si>
    <t xml:space="preserve">Рыба запечённая с маслом </t>
  </si>
  <si>
    <t>№310-1996</t>
  </si>
  <si>
    <t xml:space="preserve">Компот из яблок и апельсин   </t>
  </si>
  <si>
    <t>№251-2001, Пермь</t>
  </si>
  <si>
    <t xml:space="preserve">Овощи свежие (огурцы) </t>
  </si>
  <si>
    <t>№70-2006, Москва</t>
  </si>
  <si>
    <t>огурцы свежие грунтовые</t>
  </si>
  <si>
    <t>или огурцы свежие парниковые</t>
  </si>
  <si>
    <t>Овощи консервированные без уксуса (огурцы)</t>
  </si>
  <si>
    <t xml:space="preserve"> №101-2004</t>
  </si>
  <si>
    <t xml:space="preserve">Овощи свежие или консервированные (помидоры) </t>
  </si>
  <si>
    <t xml:space="preserve">Тефтели из мяса  с соусом </t>
  </si>
  <si>
    <t xml:space="preserve">№461-2004 </t>
  </si>
  <si>
    <t>Соус томатный</t>
  </si>
  <si>
    <t xml:space="preserve">№587-2004 </t>
  </si>
  <si>
    <t xml:space="preserve">  вода питьевая</t>
  </si>
  <si>
    <t>Каша гречневая вязкая</t>
  </si>
  <si>
    <t xml:space="preserve"> №302-2004</t>
  </si>
  <si>
    <t xml:space="preserve">Салат "Несвижский" </t>
  </si>
  <si>
    <t xml:space="preserve">№63-2004 </t>
  </si>
  <si>
    <t>печень</t>
  </si>
  <si>
    <t xml:space="preserve">Курица запеченная </t>
  </si>
  <si>
    <t xml:space="preserve">№494-2004 </t>
  </si>
  <si>
    <t>Капуста тушёная</t>
  </si>
  <si>
    <t>чеснок</t>
  </si>
  <si>
    <t xml:space="preserve"> №534-2004 </t>
  </si>
  <si>
    <t xml:space="preserve">Компот из кураги </t>
  </si>
  <si>
    <t>№284-1996</t>
  </si>
  <si>
    <t>Овощи на подгарнировку</t>
  </si>
  <si>
    <t>№244-2006,Москва</t>
  </si>
  <si>
    <t xml:space="preserve">Омлет натуральный с маслом   с подгарнировкой </t>
  </si>
  <si>
    <t xml:space="preserve">Бутерброд горячий с сыром </t>
  </si>
  <si>
    <t>№10-2004</t>
  </si>
  <si>
    <t>сыр</t>
  </si>
  <si>
    <t>Салат картофельный с зеленым горошком</t>
  </si>
  <si>
    <t>№65-2013, Пермь</t>
  </si>
  <si>
    <t>масса отварного картофеля</t>
  </si>
  <si>
    <t xml:space="preserve">Компот из свежемороженой  смородины </t>
  </si>
  <si>
    <t>№357-2002</t>
  </si>
  <si>
    <t>Суп картофельный с рыбными фрикадельками</t>
  </si>
  <si>
    <t xml:space="preserve"> №41--2001, Пермь</t>
  </si>
  <si>
    <t xml:space="preserve">№18/4-2011, Екатеринбург </t>
  </si>
  <si>
    <t xml:space="preserve">Каша пшеничная жидкая </t>
  </si>
  <si>
    <t xml:space="preserve">Каша  "Попурри" жидкая </t>
  </si>
  <si>
    <t xml:space="preserve">Какао с молоком сгущенным </t>
  </si>
  <si>
    <t>Овощи свежие  (помидоры, огурцы)</t>
  </si>
  <si>
    <t xml:space="preserve"> №14/1, 15/1-2011г., Екатеринбург</t>
  </si>
  <si>
    <t xml:space="preserve">Свекольник с мясными фрикадельками, со сметаной </t>
  </si>
  <si>
    <t>№34-2004, Пермь</t>
  </si>
  <si>
    <t xml:space="preserve">фрикадельки мясные </t>
  </si>
  <si>
    <t>№112-2004</t>
  </si>
  <si>
    <t xml:space="preserve">Бефстроганов </t>
  </si>
  <si>
    <t>№423-2004</t>
  </si>
  <si>
    <t xml:space="preserve">Рис отварной </t>
  </si>
  <si>
    <t>№511-2004</t>
  </si>
  <si>
    <t>Напиток из плодов шиповника</t>
  </si>
  <si>
    <t xml:space="preserve"> №705-2004 </t>
  </si>
  <si>
    <t>250/50</t>
  </si>
  <si>
    <t xml:space="preserve">Биточки по - белоруски с маслом </t>
  </si>
  <si>
    <t xml:space="preserve">№467-2004 </t>
  </si>
  <si>
    <t xml:space="preserve">Салат из консервированного огурца с луком </t>
  </si>
  <si>
    <t xml:space="preserve">№17-2004 </t>
  </si>
  <si>
    <t xml:space="preserve">Суп гороховый с гренками и мясом </t>
  </si>
  <si>
    <t>№139-2004</t>
  </si>
  <si>
    <t xml:space="preserve">Рыба, тушеная в томате с овощами </t>
  </si>
  <si>
    <t>№343-2013, Пермь</t>
  </si>
  <si>
    <t xml:space="preserve">Картофель толченый по деревенски </t>
  </si>
  <si>
    <t xml:space="preserve"> №208-2013, Пермь</t>
  </si>
  <si>
    <t xml:space="preserve">Компот из свежемороженой  вишни   </t>
  </si>
  <si>
    <t xml:space="preserve"> №357-2002</t>
  </si>
  <si>
    <t>№32-1992</t>
  </si>
  <si>
    <t xml:space="preserve">Колбаски из говядины </t>
  </si>
  <si>
    <t>№144-2004</t>
  </si>
  <si>
    <t xml:space="preserve">Котлета по-хлыновски  </t>
  </si>
  <si>
    <t>№454-2004</t>
  </si>
  <si>
    <t xml:space="preserve">Каша гречневая вязкая </t>
  </si>
  <si>
    <t>№302-2004</t>
  </si>
  <si>
    <t xml:space="preserve">Запеканка из творога со сгущённым молоком </t>
  </si>
  <si>
    <t>№366-2004</t>
  </si>
  <si>
    <t xml:space="preserve">Суп картофельный с рыбными консервами </t>
  </si>
  <si>
    <t>№64-2001, Пермь</t>
  </si>
  <si>
    <t xml:space="preserve">Жаркое из птицы </t>
  </si>
  <si>
    <t xml:space="preserve">№446-1996 </t>
  </si>
  <si>
    <t xml:space="preserve">Жаркое по-домашнему  </t>
  </si>
  <si>
    <t>№ 436-2004</t>
  </si>
  <si>
    <t xml:space="preserve">№9/7-2011, Екатеринбург </t>
  </si>
  <si>
    <t>Котлета рыбная с маслом</t>
  </si>
  <si>
    <t xml:space="preserve">Борщ из свежей капусты с картофелем, со сметаной с мясными фрикадельками </t>
  </si>
  <si>
    <t>№110-2004</t>
  </si>
  <si>
    <t xml:space="preserve">Картофель тушеный  </t>
  </si>
  <si>
    <t>№216-2004</t>
  </si>
  <si>
    <t>Рацион питания детей в возрасте с 12 лет и старше</t>
  </si>
  <si>
    <r>
      <t xml:space="preserve">Овощи (свежие, мороженные, консервированные), </t>
    </r>
    <r>
      <rPr>
        <sz val="6"/>
        <rFont val="Arial"/>
        <family val="2"/>
      </rPr>
      <t>включая соленые и квашеные (не более 10% от общего количества овощей), в т.ч. томат-пюре, зелень</t>
    </r>
  </si>
  <si>
    <r>
      <t xml:space="preserve">Сахар </t>
    </r>
    <r>
      <rPr>
        <sz val="6"/>
        <rFont val="Arial"/>
        <family val="2"/>
      </rPr>
      <t>(в т.ч. для приготовления блюд и напитков, в случае использования пищевой продукции промышленного выпуска, содержащих сахар, выдача сахара должна быть уменьшена в зависимости от его содержания в используемой готовой пищевой продукции)</t>
    </r>
  </si>
  <si>
    <t>яблоки свежие (очищенные от кожицы, с удаленным семенным гнездом)</t>
  </si>
  <si>
    <t xml:space="preserve">Гуляш    </t>
  </si>
  <si>
    <t xml:space="preserve">Какао с молоком сгущенным  </t>
  </si>
  <si>
    <t xml:space="preserve">Рассольник Ленинградский  с мясом и сметаной  </t>
  </si>
  <si>
    <t xml:space="preserve">Бутерброд с сыром </t>
  </si>
  <si>
    <t>№3-2004</t>
  </si>
  <si>
    <r>
      <t xml:space="preserve">Овощи (свежие, мороженные, консервированные), </t>
    </r>
    <r>
      <rPr>
        <sz val="6"/>
        <rFont val="Arial"/>
        <family val="2"/>
      </rPr>
      <t>включая соленые и квашеные (не более 10% от общего количества овощей), в т.ч. томат-пюре, зелень</t>
    </r>
  </si>
  <si>
    <r>
      <t xml:space="preserve">Сахар </t>
    </r>
    <r>
      <rPr>
        <sz val="6"/>
        <rFont val="Arial"/>
        <family val="2"/>
      </rPr>
      <t>(в т.ч. для приготовления блюд и напитков, в случае использования пищевой продукции промышленного выпуска, содержащих сахар, выдача сахара должна быть уменьшена в зависимости от его содержания в используемой готовой пищевой продукции)</t>
    </r>
  </si>
  <si>
    <t xml:space="preserve"> 10 день</t>
  </si>
  <si>
    <t>7день</t>
  </si>
  <si>
    <t xml:space="preserve">Каша "Дружба" </t>
  </si>
  <si>
    <t>№93-2001, Пермь</t>
  </si>
  <si>
    <t>крупа пшенная</t>
  </si>
  <si>
    <t>или смородина свежемороженая</t>
  </si>
  <si>
    <t>или брусника свежемороженая</t>
  </si>
  <si>
    <t>смородина свежемороженая</t>
  </si>
  <si>
    <t>Компот из свежих яблок с ягодами</t>
  </si>
  <si>
    <t xml:space="preserve">Салат "Полонынский" </t>
  </si>
  <si>
    <t>№24-2004</t>
  </si>
  <si>
    <t>огурцы свежие парниковые</t>
  </si>
  <si>
    <t xml:space="preserve">  перец свежий</t>
  </si>
  <si>
    <t>капуста свежая белокочанная</t>
  </si>
  <si>
    <t>лимонная кислота</t>
  </si>
  <si>
    <t>Суп кудрявый с курицей  (Технико-технологическая карта, разработана Центром технологического контроля, ТК № 1)</t>
  </si>
  <si>
    <t>ТК № 1</t>
  </si>
  <si>
    <t>ТК №3</t>
  </si>
  <si>
    <t>Кисель из свежих ягод</t>
  </si>
  <si>
    <t>№505-2013, Пермь</t>
  </si>
  <si>
    <t>крахмал</t>
  </si>
  <si>
    <t>Крахмал</t>
  </si>
  <si>
    <t xml:space="preserve">Борщ с капустой и картофелем с мясом, со сметаной  </t>
  </si>
  <si>
    <t>№128-2013, Пермь</t>
  </si>
  <si>
    <t xml:space="preserve">Салат из свежих помидоров </t>
  </si>
  <si>
    <t>№22-2013, Пермь</t>
  </si>
  <si>
    <t xml:space="preserve">масло растительное  </t>
  </si>
  <si>
    <t>фасоль зеленая стручковая замороженная</t>
  </si>
  <si>
    <t xml:space="preserve">Бутерброд с джемом или повидлом </t>
  </si>
  <si>
    <t>№2-2004</t>
  </si>
  <si>
    <t xml:space="preserve">батон </t>
  </si>
  <si>
    <t>джем или повидло (без искусственных ароматизаторов, консервантов и красителей)</t>
  </si>
  <si>
    <t xml:space="preserve">Уха рыбацкая </t>
  </si>
  <si>
    <t>250/25</t>
  </si>
  <si>
    <t>№151-2013, Пермь</t>
  </si>
  <si>
    <t xml:space="preserve">  горбуша или кета потрошенная с головой (филе без кожи и костей)</t>
  </si>
  <si>
    <t>или  минтай потрошенный обезглавленный (филе с кожей без костей)</t>
  </si>
  <si>
    <t>масса вареной рыбы</t>
  </si>
  <si>
    <t xml:space="preserve">Салат  из огурцов  </t>
  </si>
  <si>
    <t>14/1-2011, Екатеринбург</t>
  </si>
  <si>
    <t xml:space="preserve">  огурцы свежие грунтовые</t>
  </si>
  <si>
    <t xml:space="preserve">Котлеты рубленные из птицы </t>
  </si>
  <si>
    <t xml:space="preserve">№498-2004 </t>
  </si>
  <si>
    <t>Суп картофельный с клецками с курицей</t>
  </si>
  <si>
    <t xml:space="preserve"> №38-2001, Пермь </t>
  </si>
  <si>
    <t>клецки готовые №548-2004</t>
  </si>
  <si>
    <t xml:space="preserve">Суп из овощей с фасолью, с мясными фрикадельками </t>
  </si>
  <si>
    <t>кр</t>
  </si>
  <si>
    <t>или горбуша неразделанная (филе  с кожей без костей)</t>
  </si>
  <si>
    <t>или минтай потрошенный обезглавленный (филе  с кожей без костей)</t>
  </si>
  <si>
    <t>свинина мясная</t>
  </si>
  <si>
    <t>Сердце в соусе</t>
  </si>
  <si>
    <t>№403-2013, Пермь</t>
  </si>
  <si>
    <t>сердце говяжье</t>
  </si>
  <si>
    <t>масса готового отварного  сердца</t>
  </si>
  <si>
    <t>Соус сметанный с томатом</t>
  </si>
  <si>
    <t>№444-2013, Пермь</t>
  </si>
  <si>
    <t xml:space="preserve">сметана </t>
  </si>
  <si>
    <t>за 10 дней, г</t>
  </si>
  <si>
    <t>Количество продуктов в день на 1 ребенка в г, мл (нетто)  при двухразовом питании  (завтрак, обед) в течение 10 дней</t>
  </si>
  <si>
    <t>или горошек зеленый свежемороженый</t>
  </si>
  <si>
    <t>вишня свежемороженая</t>
  </si>
  <si>
    <t xml:space="preserve">Печень    по - строгановски </t>
  </si>
  <si>
    <t>№431-2004</t>
  </si>
  <si>
    <t>печень говяжья</t>
  </si>
  <si>
    <t>масса тушеной печени</t>
  </si>
  <si>
    <r>
      <t>Соки плодоовощные,</t>
    </r>
    <r>
      <rPr>
        <sz val="6"/>
        <rFont val="Arial"/>
        <family val="2"/>
      </rPr>
      <t xml:space="preserve"> напитки витаминизированные, в т.ч. инстантные</t>
    </r>
  </si>
  <si>
    <t>горбуша потрошенная с головой (филе с кожей без костей)</t>
  </si>
  <si>
    <t>№524-2004</t>
  </si>
  <si>
    <t>Овощи свежемороженые припущенные</t>
  </si>
  <si>
    <t>или овощная смесь свежемороженая</t>
  </si>
  <si>
    <t>Салат Пестрый  (Технико-технологическая карта, разработана Центром технологического контроля, ТК № 2)</t>
  </si>
  <si>
    <t>ТК №2</t>
  </si>
  <si>
    <t>Котлета по-Волжски  (Технико-технологическая карта, разработана Центром технологического контроля, ТК №3)</t>
  </si>
  <si>
    <t xml:space="preserve">Йогурт в ассортименте  </t>
  </si>
  <si>
    <t>лук репчатый использовать только до 1 марта, после 1 марта  лук репчатый исключить и увеличить закладку других овощей до необходимого выхода блюда</t>
  </si>
  <si>
    <t>*Приложение 10, Таблица 1  "Потребность в пищевых веществах, энергии, витаминах и минеральных веществ (суточная)" СанПиН 2.3/2.4.3590-20 "Санитарно- эпидемиологические требования к организации общественного питания населения".</t>
  </si>
  <si>
    <t>Салат картофельный с кукурузой и морковью</t>
  </si>
  <si>
    <t>№73-2013, Пермь</t>
  </si>
  <si>
    <t>кукуруза  консервированная (после термической обработки)</t>
  </si>
  <si>
    <t>морковь до 01.01 - 20%</t>
  </si>
  <si>
    <t>масса отварной моркови</t>
  </si>
  <si>
    <t>Овощи свежие или консервированные (помидоры) на подгарнировку</t>
  </si>
  <si>
    <t>Овощи свежие (огурцы) на подгарнировку</t>
  </si>
  <si>
    <t>Овощи консервированные без уксуса (огурцы) на подгарнировку</t>
  </si>
  <si>
    <t>100/10</t>
  </si>
  <si>
    <t xml:space="preserve">Салат из белокочанной капусты с огурцами свежими </t>
  </si>
  <si>
    <t>№5-2013, Пермь</t>
  </si>
  <si>
    <t>масса капусты, стертой с солью</t>
  </si>
  <si>
    <t>капуста  старого урожая используется в сыром виде до 1 марта, с 1 марта только капуста нового урожая или другой салат</t>
  </si>
  <si>
    <t>или огурцы  свежие грунтовые</t>
  </si>
  <si>
    <t>или лимон для сока</t>
  </si>
  <si>
    <t>зелень свежая (петрушка, укроп)</t>
  </si>
  <si>
    <t>ПРИМЕРНОЕ 10-ти ДНЕВНОЕ МЕНЮ № 2250 от 21.12.2021 г.</t>
  </si>
  <si>
    <t xml:space="preserve">НАКОПИТЕЛЬНАЯ ВЕДОМОСТЬ к меню №2250 от21.12.2021 г. для питания детей школьного возраста с 12 лет и старше </t>
  </si>
  <si>
    <t>№101-2004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</si>
</sst>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[$-FC19]d\ mmmm\ yyyy\ &quot;г.&quot;"/>
    <numFmt numFmtId="197" formatCode="_(* #,##0.0_);_(* \(#,##0.0\);_(* &quot;-&quot;??_);_(@_)"/>
    <numFmt numFmtId="198" formatCode="_(* #,##0_);_(* \(#,##0\);_(* &quot;-&quot;??_);_(@_)"/>
    <numFmt numFmtId="199" formatCode="_-* #,##0.0_р_._-;\-* #,##0.0_р_._-;_-* &quot;-&quot;??_р_._-;_-@_-"/>
    <numFmt numFmtId="200" formatCode="_-* #,##0_р_._-;\-* #,##0_р_._-;_-* &quot;-&quot;??_р_._-;_-@_-"/>
    <numFmt numFmtId="201" formatCode="#,##0.00_ ;\-#,##0.00\ "/>
    <numFmt numFmtId="202" formatCode="_-* #,##0.000000_р_._-;\-* #,##0.000000_р_._-;_-* &quot;-&quot;??_р_._-;_-@_-"/>
    <numFmt numFmtId="203" formatCode="_(* #,##0.000_);_(* \(#,##0.000\);_(* &quot;-&quot;??_);_(@_)"/>
    <numFmt numFmtId="204" formatCode="0.000000"/>
  </numFmts>
  <fonts count="71">
    <font>
      <sz val="10"/>
      <name val="Arial"/>
      <family val="0"/>
    </font>
    <font>
      <sz val="14"/>
      <name val="Arial Black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7"/>
      <name val="Arial"/>
      <family val="2"/>
    </font>
    <font>
      <b/>
      <i/>
      <sz val="11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 Cyr"/>
      <family val="0"/>
    </font>
    <font>
      <b/>
      <i/>
      <sz val="8"/>
      <name val="Arial"/>
      <family val="2"/>
    </font>
    <font>
      <b/>
      <sz val="7"/>
      <name val="Arial Cyr"/>
      <family val="0"/>
    </font>
    <font>
      <b/>
      <sz val="12"/>
      <name val="Arial Cyr"/>
      <family val="0"/>
    </font>
    <font>
      <b/>
      <sz val="10"/>
      <name val="Times New Roman Cyr"/>
      <family val="1"/>
    </font>
    <font>
      <b/>
      <sz val="12"/>
      <name val="Times New Roman Cyr"/>
      <family val="1"/>
    </font>
    <font>
      <i/>
      <u val="single"/>
      <sz val="11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12"/>
      <name val="Arial"/>
      <family val="2"/>
    </font>
    <font>
      <sz val="12"/>
      <name val="Arial Black"/>
      <family val="2"/>
    </font>
    <font>
      <sz val="11"/>
      <name val="Arial Black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2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7" borderId="0" applyNumberFormat="0" applyBorder="0" applyAlignment="0" applyProtection="0"/>
    <xf numFmtId="0" fontId="57" fillId="10" borderId="0" applyNumberFormat="0" applyBorder="0" applyAlignment="0" applyProtection="0"/>
    <xf numFmtId="0" fontId="57" fillId="3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7" borderId="0" applyNumberFormat="0" applyBorder="0" applyAlignment="0" applyProtection="0"/>
    <xf numFmtId="0" fontId="58" fillId="13" borderId="0" applyNumberFormat="0" applyBorder="0" applyAlignment="0" applyProtection="0"/>
    <xf numFmtId="0" fontId="58" fillId="3" borderId="0" applyNumberFormat="0" applyBorder="0" applyAlignment="0" applyProtection="0"/>
    <xf numFmtId="0" fontId="58" fillId="11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1" applyNumberFormat="0" applyAlignment="0" applyProtection="0"/>
    <xf numFmtId="0" fontId="60" fillId="2" borderId="2" applyNumberFormat="0" applyAlignment="0" applyProtection="0"/>
    <xf numFmtId="0" fontId="61" fillId="2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4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0" borderId="7" applyNumberFormat="0" applyAlignment="0" applyProtection="0"/>
    <xf numFmtId="0" fontId="8" fillId="0" borderId="0" applyNumberFormat="0" applyFill="0" applyBorder="0" applyAlignment="0" applyProtection="0"/>
    <xf numFmtId="0" fontId="64" fillId="21" borderId="0" applyNumberFormat="0" applyBorder="0" applyAlignment="0" applyProtection="0"/>
    <xf numFmtId="0" fontId="57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24" borderId="0" applyNumberFormat="0" applyBorder="0" applyAlignment="0" applyProtection="0"/>
  </cellStyleXfs>
  <cellXfs count="6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Border="1" applyAlignment="1">
      <alignment wrapText="1"/>
    </xf>
    <xf numFmtId="1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192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2" fillId="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92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92" fontId="11" fillId="0" borderId="10" xfId="0" applyNumberFormat="1" applyFont="1" applyFill="1" applyBorder="1" applyAlignment="1">
      <alignment horizontal="center" vertical="center"/>
    </xf>
    <xf numFmtId="1" fontId="0" fillId="25" borderId="10" xfId="0" applyNumberFormat="1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92" fontId="10" fillId="2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2" fontId="0" fillId="0" borderId="10" xfId="0" applyNumberFormat="1" applyFont="1" applyBorder="1" applyAlignment="1">
      <alignment horizontal="center" vertical="center"/>
    </xf>
    <xf numFmtId="192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92" fontId="12" fillId="0" borderId="10" xfId="0" applyNumberFormat="1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192" fontId="12" fillId="2" borderId="10" xfId="0" applyNumberFormat="1" applyFont="1" applyFill="1" applyBorder="1" applyAlignment="1">
      <alignment horizontal="center" vertical="center"/>
    </xf>
    <xf numFmtId="0" fontId="14" fillId="26" borderId="10" xfId="0" applyFont="1" applyFill="1" applyBorder="1" applyAlignment="1">
      <alignment/>
    </xf>
    <xf numFmtId="0" fontId="2" fillId="26" borderId="10" xfId="0" applyFont="1" applyFill="1" applyBorder="1" applyAlignment="1">
      <alignment horizontal="center" vertical="center"/>
    </xf>
    <xf numFmtId="1" fontId="2" fillId="26" borderId="10" xfId="0" applyNumberFormat="1" applyFont="1" applyFill="1" applyBorder="1" applyAlignment="1">
      <alignment horizontal="center" vertical="center"/>
    </xf>
    <xf numFmtId="192" fontId="2" fillId="26" borderId="10" xfId="0" applyNumberFormat="1" applyFont="1" applyFill="1" applyBorder="1" applyAlignment="1">
      <alignment horizontal="center" vertical="center"/>
    </xf>
    <xf numFmtId="192" fontId="11" fillId="26" borderId="10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0" fillId="26" borderId="0" xfId="0" applyFill="1" applyAlignment="1">
      <alignment/>
    </xf>
    <xf numFmtId="1" fontId="0" fillId="0" borderId="10" xfId="55" applyNumberFormat="1" applyFont="1" applyFill="1" applyBorder="1" applyAlignment="1">
      <alignment horizontal="center" vertical="center"/>
      <protection/>
    </xf>
    <xf numFmtId="1" fontId="0" fillId="27" borderId="10" xfId="0" applyNumberFormat="1" applyFont="1" applyFill="1" applyBorder="1" applyAlignment="1">
      <alignment horizontal="center" vertical="center"/>
    </xf>
    <xf numFmtId="1" fontId="0" fillId="0" borderId="10" xfId="55" applyNumberFormat="1" applyFont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right" vertical="center"/>
    </xf>
    <xf numFmtId="0" fontId="0" fillId="25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25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13" fillId="0" borderId="10" xfId="56" applyFont="1" applyBorder="1" applyAlignment="1">
      <alignment horizontal="right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92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4" fillId="0" borderId="11" xfId="0" applyFont="1" applyFill="1" applyBorder="1" applyAlignment="1">
      <alignment/>
    </xf>
    <xf numFmtId="192" fontId="9" fillId="0" borderId="13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6" borderId="10" xfId="55" applyFont="1" applyFill="1" applyBorder="1" applyAlignment="1">
      <alignment horizontal="center" vertical="center"/>
      <protection/>
    </xf>
    <xf numFmtId="192" fontId="2" fillId="26" borderId="10" xfId="55" applyNumberFormat="1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0" fillId="0" borderId="10" xfId="55" applyFont="1" applyBorder="1" applyAlignment="1">
      <alignment horizontal="right" vertical="center"/>
      <protection/>
    </xf>
    <xf numFmtId="0" fontId="0" fillId="0" borderId="10" xfId="55" applyFont="1" applyFill="1" applyBorder="1" applyAlignment="1">
      <alignment horizontal="right" vertical="center"/>
      <protection/>
    </xf>
    <xf numFmtId="192" fontId="0" fillId="0" borderId="10" xfId="55" applyNumberFormat="1" applyFont="1" applyBorder="1" applyAlignment="1">
      <alignment horizontal="center" vertical="center"/>
      <protection/>
    </xf>
    <xf numFmtId="0" fontId="19" fillId="0" borderId="10" xfId="55" applyFont="1" applyFill="1" applyBorder="1" applyAlignment="1">
      <alignment horizontal="center" vertical="center"/>
      <protection/>
    </xf>
    <xf numFmtId="0" fontId="2" fillId="26" borderId="10" xfId="0" applyFont="1" applyFill="1" applyBorder="1" applyAlignment="1">
      <alignment horizontal="center" vertical="center"/>
    </xf>
    <xf numFmtId="0" fontId="14" fillId="26" borderId="10" xfId="0" applyFont="1" applyFill="1" applyBorder="1" applyAlignment="1">
      <alignment horizontal="center" vertical="center"/>
    </xf>
    <xf numFmtId="0" fontId="14" fillId="26" borderId="10" xfId="0" applyFont="1" applyFill="1" applyBorder="1" applyAlignment="1">
      <alignment vertical="center"/>
    </xf>
    <xf numFmtId="1" fontId="14" fillId="26" borderId="10" xfId="0" applyNumberFormat="1" applyFont="1" applyFill="1" applyBorder="1" applyAlignment="1">
      <alignment horizontal="center" vertical="center"/>
    </xf>
    <xf numFmtId="1" fontId="15" fillId="26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92" fontId="2" fillId="26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192" fontId="10" fillId="26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right" vertical="center"/>
    </xf>
    <xf numFmtId="0" fontId="11" fillId="26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192" fontId="11" fillId="26" borderId="10" xfId="0" applyNumberFormat="1" applyFont="1" applyFill="1" applyBorder="1" applyAlignment="1">
      <alignment horizontal="center" vertical="center"/>
    </xf>
    <xf numFmtId="1" fontId="0" fillId="26" borderId="10" xfId="55" applyNumberFormat="1" applyFont="1" applyFill="1" applyBorder="1" applyAlignment="1">
      <alignment horizontal="center" vertical="center"/>
      <protection/>
    </xf>
    <xf numFmtId="192" fontId="3" fillId="26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right" vertical="center" wrapText="1"/>
    </xf>
    <xf numFmtId="0" fontId="0" fillId="26" borderId="0" xfId="0" applyFont="1" applyFill="1" applyAlignment="1">
      <alignment/>
    </xf>
    <xf numFmtId="0" fontId="2" fillId="26" borderId="0" xfId="0" applyFont="1" applyFill="1" applyAlignment="1">
      <alignment/>
    </xf>
    <xf numFmtId="192" fontId="12" fillId="26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4" fillId="0" borderId="13" xfId="0" applyFont="1" applyFill="1" applyBorder="1" applyAlignment="1">
      <alignment/>
    </xf>
    <xf numFmtId="0" fontId="14" fillId="0" borderId="13" xfId="0" applyFont="1" applyBorder="1" applyAlignment="1">
      <alignment horizontal="left" wrapText="1"/>
    </xf>
    <xf numFmtId="2" fontId="18" fillId="0" borderId="0" xfId="55" applyNumberFormat="1" applyFont="1" applyFill="1" applyBorder="1" applyAlignment="1">
      <alignment horizontal="center"/>
      <protection/>
    </xf>
    <xf numFmtId="0" fontId="19" fillId="0" borderId="0" xfId="55" applyFont="1" applyFill="1" applyBorder="1" applyAlignment="1">
      <alignment horizontal="left"/>
      <protection/>
    </xf>
    <xf numFmtId="2" fontId="19" fillId="0" borderId="0" xfId="55" applyNumberFormat="1" applyFont="1" applyFill="1" applyBorder="1" applyAlignment="1">
      <alignment horizontal="center"/>
      <protection/>
    </xf>
    <xf numFmtId="0" fontId="19" fillId="0" borderId="0" xfId="55" applyFont="1" applyFill="1" applyBorder="1">
      <alignment/>
      <protection/>
    </xf>
    <xf numFmtId="192" fontId="14" fillId="26" borderId="10" xfId="0" applyNumberFormat="1" applyFont="1" applyFill="1" applyBorder="1" applyAlignment="1">
      <alignment horizontal="center" vertical="center"/>
    </xf>
    <xf numFmtId="0" fontId="0" fillId="26" borderId="0" xfId="0" applyFont="1" applyFill="1" applyAlignment="1">
      <alignment/>
    </xf>
    <xf numFmtId="192" fontId="12" fillId="0" borderId="10" xfId="0" applyNumberFormat="1" applyFont="1" applyBorder="1" applyAlignment="1">
      <alignment horizontal="center" vertical="center"/>
    </xf>
    <xf numFmtId="192" fontId="0" fillId="26" borderId="10" xfId="0" applyNumberFormat="1" applyFont="1" applyFill="1" applyBorder="1" applyAlignment="1">
      <alignment horizontal="center" vertical="center"/>
    </xf>
    <xf numFmtId="192" fontId="0" fillId="0" borderId="0" xfId="0" applyNumberFormat="1" applyFont="1" applyAlignment="1">
      <alignment/>
    </xf>
    <xf numFmtId="192" fontId="19" fillId="2" borderId="10" xfId="0" applyNumberFormat="1" applyFont="1" applyFill="1" applyBorder="1" applyAlignment="1">
      <alignment horizontal="center" vertical="center"/>
    </xf>
    <xf numFmtId="192" fontId="20" fillId="26" borderId="10" xfId="0" applyNumberFormat="1" applyFont="1" applyFill="1" applyBorder="1" applyAlignment="1">
      <alignment horizontal="center" vertical="center"/>
    </xf>
    <xf numFmtId="192" fontId="9" fillId="26" borderId="10" xfId="0" applyNumberFormat="1" applyFont="1" applyFill="1" applyBorder="1" applyAlignment="1">
      <alignment horizontal="center" vertical="center"/>
    </xf>
    <xf numFmtId="192" fontId="0" fillId="26" borderId="10" xfId="0" applyNumberFormat="1" applyFont="1" applyFill="1" applyBorder="1" applyAlignment="1">
      <alignment horizontal="center" vertical="center"/>
    </xf>
    <xf numFmtId="192" fontId="0" fillId="26" borderId="10" xfId="55" applyNumberFormat="1" applyFont="1" applyFill="1" applyBorder="1" applyAlignment="1">
      <alignment horizontal="center" vertical="center"/>
      <protection/>
    </xf>
    <xf numFmtId="192" fontId="0" fillId="0" borderId="10" xfId="55" applyNumberFormat="1" applyFont="1" applyFill="1" applyBorder="1" applyAlignment="1">
      <alignment horizontal="center" vertical="center"/>
      <protection/>
    </xf>
    <xf numFmtId="192" fontId="19" fillId="26" borderId="10" xfId="55" applyNumberFormat="1" applyFont="1" applyFill="1" applyBorder="1" applyAlignment="1">
      <alignment horizontal="center" vertical="center"/>
      <protection/>
    </xf>
    <xf numFmtId="1" fontId="12" fillId="0" borderId="10" xfId="0" applyNumberFormat="1" applyFont="1" applyFill="1" applyBorder="1" applyAlignment="1">
      <alignment horizontal="center" vertical="center"/>
    </xf>
    <xf numFmtId="1" fontId="12" fillId="26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" fontId="2" fillId="26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" fontId="19" fillId="2" borderId="10" xfId="0" applyNumberFormat="1" applyFont="1" applyFill="1" applyBorder="1" applyAlignment="1">
      <alignment horizontal="center" vertical="center"/>
    </xf>
    <xf numFmtId="1" fontId="10" fillId="2" borderId="10" xfId="0" applyNumberFormat="1" applyFont="1" applyFill="1" applyBorder="1" applyAlignment="1">
      <alignment horizontal="center" vertical="center"/>
    </xf>
    <xf numFmtId="1" fontId="9" fillId="26" borderId="10" xfId="0" applyNumberFormat="1" applyFont="1" applyFill="1" applyBorder="1" applyAlignment="1">
      <alignment horizontal="center" vertical="center"/>
    </xf>
    <xf numFmtId="1" fontId="10" fillId="26" borderId="10" xfId="0" applyNumberFormat="1" applyFont="1" applyFill="1" applyBorder="1" applyAlignment="1">
      <alignment horizontal="center" vertical="center"/>
    </xf>
    <xf numFmtId="1" fontId="19" fillId="26" borderId="10" xfId="55" applyNumberFormat="1" applyFont="1" applyFill="1" applyBorder="1" applyAlignment="1">
      <alignment horizontal="center" vertical="center"/>
      <protection/>
    </xf>
    <xf numFmtId="0" fontId="0" fillId="27" borderId="10" xfId="0" applyFont="1" applyFill="1" applyBorder="1" applyAlignment="1">
      <alignment horizontal="right" vertical="center" wrapText="1"/>
    </xf>
    <xf numFmtId="0" fontId="70" fillId="26" borderId="0" xfId="0" applyFont="1" applyFill="1" applyAlignment="1">
      <alignment/>
    </xf>
    <xf numFmtId="0" fontId="0" fillId="27" borderId="10" xfId="0" applyFont="1" applyFill="1" applyBorder="1" applyAlignment="1">
      <alignment horizontal="right" vertical="center"/>
    </xf>
    <xf numFmtId="0" fontId="3" fillId="26" borderId="10" xfId="0" applyFont="1" applyFill="1" applyBorder="1" applyAlignment="1">
      <alignment horizontal="center" vertical="center"/>
    </xf>
    <xf numFmtId="192" fontId="15" fillId="26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Border="1" applyAlignment="1">
      <alignment/>
    </xf>
    <xf numFmtId="19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26" borderId="10" xfId="0" applyFont="1" applyFill="1" applyBorder="1" applyAlignment="1">
      <alignment horizontal="center" vertical="center"/>
    </xf>
    <xf numFmtId="1" fontId="0" fillId="26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1" fontId="0" fillId="26" borderId="10" xfId="0" applyNumberFormat="1" applyFont="1" applyFill="1" applyBorder="1" applyAlignment="1">
      <alignment horizontal="center" vertical="center"/>
    </xf>
    <xf numFmtId="1" fontId="2" fillId="26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" fontId="0" fillId="25" borderId="10" xfId="0" applyNumberFormat="1" applyFont="1" applyFill="1" applyBorder="1" applyAlignment="1">
      <alignment horizontal="center" vertical="center"/>
    </xf>
    <xf numFmtId="192" fontId="10" fillId="2" borderId="10" xfId="0" applyNumberFormat="1" applyFont="1" applyFill="1" applyBorder="1" applyAlignment="1">
      <alignment horizontal="center" vertical="center"/>
    </xf>
    <xf numFmtId="1" fontId="10" fillId="2" borderId="10" xfId="0" applyNumberFormat="1" applyFont="1" applyFill="1" applyBorder="1" applyAlignment="1">
      <alignment horizontal="center" vertical="center"/>
    </xf>
    <xf numFmtId="192" fontId="10" fillId="26" borderId="10" xfId="0" applyNumberFormat="1" applyFont="1" applyFill="1" applyBorder="1" applyAlignment="1">
      <alignment horizontal="center" vertical="center"/>
    </xf>
    <xf numFmtId="192" fontId="0" fillId="0" borderId="10" xfId="0" applyNumberFormat="1" applyFont="1" applyBorder="1" applyAlignment="1">
      <alignment horizontal="center" vertical="center"/>
    </xf>
    <xf numFmtId="0" fontId="0" fillId="26" borderId="10" xfId="0" applyFont="1" applyFill="1" applyBorder="1" applyAlignment="1">
      <alignment horizontal="right" vertical="center"/>
    </xf>
    <xf numFmtId="0" fontId="0" fillId="26" borderId="10" xfId="0" applyFont="1" applyFill="1" applyBorder="1" applyAlignment="1">
      <alignment horizontal="right" vertical="center" wrapText="1"/>
    </xf>
    <xf numFmtId="0" fontId="0" fillId="26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1" fontId="0" fillId="26" borderId="0" xfId="0" applyNumberFormat="1" applyFont="1" applyFill="1" applyAlignment="1">
      <alignment/>
    </xf>
    <xf numFmtId="194" fontId="0" fillId="26" borderId="10" xfId="0" applyNumberFormat="1" applyFont="1" applyFill="1" applyBorder="1" applyAlignment="1">
      <alignment horizontal="center" vertical="center"/>
    </xf>
    <xf numFmtId="1" fontId="10" fillId="26" borderId="10" xfId="0" applyNumberFormat="1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 wrapText="1"/>
    </xf>
    <xf numFmtId="0" fontId="0" fillId="26" borderId="0" xfId="0" applyFont="1" applyFill="1" applyBorder="1" applyAlignment="1">
      <alignment horizontal="right"/>
    </xf>
    <xf numFmtId="0" fontId="0" fillId="26" borderId="0" xfId="0" applyFont="1" applyFill="1" applyBorder="1" applyAlignment="1">
      <alignment/>
    </xf>
    <xf numFmtId="1" fontId="0" fillId="26" borderId="0" xfId="0" applyNumberFormat="1" applyFont="1" applyFill="1" applyBorder="1" applyAlignment="1">
      <alignment horizontal="center"/>
    </xf>
    <xf numFmtId="0" fontId="0" fillId="26" borderId="0" xfId="0" applyFont="1" applyFill="1" applyBorder="1" applyAlignment="1">
      <alignment horizontal="center" vertical="center" wrapText="1"/>
    </xf>
    <xf numFmtId="0" fontId="0" fillId="26" borderId="0" xfId="0" applyFont="1" applyFill="1" applyBorder="1" applyAlignment="1">
      <alignment horizontal="center" vertical="center"/>
    </xf>
    <xf numFmtId="2" fontId="0" fillId="26" borderId="0" xfId="0" applyNumberFormat="1" applyFont="1" applyFill="1" applyBorder="1" applyAlignment="1">
      <alignment horizontal="center"/>
    </xf>
    <xf numFmtId="0" fontId="9" fillId="26" borderId="0" xfId="0" applyFont="1" applyFill="1" applyBorder="1" applyAlignment="1">
      <alignment horizontal="center" vertical="center" wrapText="1"/>
    </xf>
    <xf numFmtId="1" fontId="2" fillId="26" borderId="0" xfId="0" applyNumberFormat="1" applyFont="1" applyFill="1" applyAlignment="1">
      <alignment/>
    </xf>
    <xf numFmtId="0" fontId="14" fillId="26" borderId="10" xfId="0" applyFont="1" applyFill="1" applyBorder="1" applyAlignment="1">
      <alignment wrapText="1"/>
    </xf>
    <xf numFmtId="0" fontId="0" fillId="26" borderId="10" xfId="55" applyFont="1" applyFill="1" applyBorder="1" applyAlignment="1">
      <alignment horizontal="right" vertical="center"/>
      <protection/>
    </xf>
    <xf numFmtId="2" fontId="18" fillId="26" borderId="0" xfId="55" applyNumberFormat="1" applyFont="1" applyFill="1" applyBorder="1" applyAlignment="1">
      <alignment horizontal="center"/>
      <protection/>
    </xf>
    <xf numFmtId="0" fontId="3" fillId="0" borderId="0" xfId="0" applyFont="1" applyAlignment="1">
      <alignment vertical="center"/>
    </xf>
    <xf numFmtId="1" fontId="15" fillId="26" borderId="10" xfId="0" applyNumberFormat="1" applyFont="1" applyFill="1" applyBorder="1" applyAlignment="1">
      <alignment horizontal="center" vertical="center"/>
    </xf>
    <xf numFmtId="192" fontId="15" fillId="26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1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92" fontId="9" fillId="26" borderId="10" xfId="0" applyNumberFormat="1" applyFont="1" applyFill="1" applyBorder="1" applyAlignment="1">
      <alignment horizontal="center" vertical="center"/>
    </xf>
    <xf numFmtId="1" fontId="9" fillId="26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49" fontId="0" fillId="0" borderId="10" xfId="0" applyNumberFormat="1" applyFont="1" applyBorder="1" applyAlignment="1" applyProtection="1">
      <alignment horizontal="center" vertical="center"/>
      <protection/>
    </xf>
    <xf numFmtId="1" fontId="0" fillId="0" borderId="10" xfId="0" applyNumberFormat="1" applyFont="1" applyBorder="1" applyAlignment="1" applyProtection="1">
      <alignment horizontal="center" vertical="center"/>
      <protection/>
    </xf>
    <xf numFmtId="192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19" fillId="26" borderId="10" xfId="0" applyFont="1" applyFill="1" applyBorder="1" applyAlignment="1">
      <alignment horizontal="center" vertical="center"/>
    </xf>
    <xf numFmtId="1" fontId="19" fillId="26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49" fontId="0" fillId="26" borderId="10" xfId="0" applyNumberFormat="1" applyFont="1" applyFill="1" applyBorder="1" applyAlignment="1">
      <alignment vertical="center"/>
    </xf>
    <xf numFmtId="0" fontId="0" fillId="0" borderId="10" xfId="55" applyFont="1" applyBorder="1" applyAlignment="1">
      <alignment horizontal="center" vertical="center"/>
      <protection/>
    </xf>
    <xf numFmtId="0" fontId="0" fillId="0" borderId="10" xfId="55" applyFont="1" applyBorder="1" applyAlignment="1">
      <alignment horizontal="right" vertical="center" wrapText="1"/>
      <protection/>
    </xf>
    <xf numFmtId="0" fontId="0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192" fontId="2" fillId="26" borderId="0" xfId="0" applyNumberFormat="1" applyFont="1" applyFill="1" applyBorder="1" applyAlignment="1">
      <alignment horizontal="center" vertical="center"/>
    </xf>
    <xf numFmtId="1" fontId="0" fillId="25" borderId="10" xfId="55" applyNumberFormat="1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192" fontId="0" fillId="0" borderId="10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 wrapText="1"/>
    </xf>
    <xf numFmtId="0" fontId="14" fillId="26" borderId="0" xfId="0" applyFont="1" applyFill="1" applyBorder="1" applyAlignment="1">
      <alignment/>
    </xf>
    <xf numFmtId="0" fontId="2" fillId="0" borderId="0" xfId="0" applyFont="1" applyBorder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0" fillId="26" borderId="10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center"/>
    </xf>
    <xf numFmtId="2" fontId="0" fillId="26" borderId="10" xfId="0" applyNumberFormat="1" applyFont="1" applyFill="1" applyBorder="1" applyAlignment="1">
      <alignment horizontal="center" vertical="center"/>
    </xf>
    <xf numFmtId="192" fontId="0" fillId="0" borderId="0" xfId="0" applyNumberFormat="1" applyFont="1" applyFill="1" applyAlignment="1">
      <alignment horizontal="center"/>
    </xf>
    <xf numFmtId="1" fontId="0" fillId="27" borderId="10" xfId="0" applyNumberFormat="1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vertical="center"/>
    </xf>
    <xf numFmtId="0" fontId="13" fillId="27" borderId="10" xfId="0" applyFont="1" applyFill="1" applyBorder="1" applyAlignment="1">
      <alignment horizontal="right" vertical="center"/>
    </xf>
    <xf numFmtId="1" fontId="2" fillId="0" borderId="10" xfId="0" applyNumberFormat="1" applyFont="1" applyBorder="1" applyAlignment="1">
      <alignment horizontal="center" vertical="center"/>
    </xf>
    <xf numFmtId="1" fontId="20" fillId="26" borderId="10" xfId="0" applyNumberFormat="1" applyFont="1" applyFill="1" applyBorder="1" applyAlignment="1">
      <alignment horizontal="center" vertical="center"/>
    </xf>
    <xf numFmtId="1" fontId="3" fillId="26" borderId="10" xfId="0" applyNumberFormat="1" applyFont="1" applyFill="1" applyBorder="1" applyAlignment="1">
      <alignment horizontal="center" vertical="center"/>
    </xf>
    <xf numFmtId="0" fontId="22" fillId="0" borderId="10" xfId="56" applyFont="1" applyBorder="1" applyAlignment="1">
      <alignment horizontal="right" vertical="center" wrapText="1"/>
      <protection/>
    </xf>
    <xf numFmtId="1" fontId="22" fillId="0" borderId="10" xfId="56" applyNumberFormat="1" applyFont="1" applyBorder="1" applyAlignment="1">
      <alignment horizontal="center" vertical="center"/>
      <protection/>
    </xf>
    <xf numFmtId="1" fontId="23" fillId="0" borderId="10" xfId="0" applyNumberFormat="1" applyFont="1" applyBorder="1" applyAlignment="1">
      <alignment horizontal="center" vertical="center"/>
    </xf>
    <xf numFmtId="192" fontId="23" fillId="26" borderId="10" xfId="0" applyNumberFormat="1" applyFont="1" applyFill="1" applyBorder="1" applyAlignment="1">
      <alignment horizontal="center" vertical="center"/>
    </xf>
    <xf numFmtId="1" fontId="23" fillId="26" borderId="10" xfId="0" applyNumberFormat="1" applyFont="1" applyFill="1" applyBorder="1" applyAlignment="1">
      <alignment horizontal="center" vertical="center"/>
    </xf>
    <xf numFmtId="192" fontId="22" fillId="0" borderId="10" xfId="56" applyNumberFormat="1" applyFont="1" applyBorder="1" applyAlignment="1">
      <alignment horizontal="center" vertical="center"/>
      <protection/>
    </xf>
    <xf numFmtId="192" fontId="9" fillId="0" borderId="0" xfId="0" applyNumberFormat="1" applyFont="1" applyBorder="1" applyAlignment="1">
      <alignment horizontal="center" vertical="center" wrapText="1"/>
    </xf>
    <xf numFmtId="0" fontId="9" fillId="26" borderId="10" xfId="0" applyFont="1" applyFill="1" applyBorder="1" applyAlignment="1">
      <alignment horizontal="center" vertical="center"/>
    </xf>
    <xf numFmtId="0" fontId="13" fillId="0" borderId="10" xfId="56" applyFont="1" applyBorder="1" applyAlignment="1">
      <alignment horizontal="right" vertical="center" wrapText="1"/>
      <protection/>
    </xf>
    <xf numFmtId="1" fontId="13" fillId="0" borderId="10" xfId="56" applyNumberFormat="1" applyFont="1" applyBorder="1" applyAlignment="1">
      <alignment horizontal="center" vertical="center" wrapText="1"/>
      <protection/>
    </xf>
    <xf numFmtId="1" fontId="22" fillId="0" borderId="10" xfId="56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2" fillId="26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13" fillId="0" borderId="10" xfId="56" applyNumberFormat="1" applyFont="1" applyBorder="1" applyAlignment="1">
      <alignment horizontal="center" vertical="center"/>
      <protection/>
    </xf>
    <xf numFmtId="0" fontId="14" fillId="26" borderId="10" xfId="0" applyFont="1" applyFill="1" applyBorder="1" applyAlignment="1">
      <alignment vertical="center"/>
    </xf>
    <xf numFmtId="0" fontId="14" fillId="26" borderId="10" xfId="0" applyFont="1" applyFill="1" applyBorder="1" applyAlignment="1">
      <alignment horizontal="center" vertical="center"/>
    </xf>
    <xf numFmtId="1" fontId="14" fillId="26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92" fontId="14" fillId="26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9" fillId="26" borderId="10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center" vertical="center"/>
    </xf>
    <xf numFmtId="9" fontId="14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/>
    </xf>
    <xf numFmtId="1" fontId="20" fillId="26" borderId="16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" fontId="20" fillId="26" borderId="19" xfId="0" applyNumberFormat="1" applyFont="1" applyFill="1" applyBorder="1" applyAlignment="1">
      <alignment horizontal="center" vertical="center"/>
    </xf>
    <xf numFmtId="1" fontId="20" fillId="26" borderId="2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2" fontId="9" fillId="26" borderId="10" xfId="0" applyNumberFormat="1" applyFont="1" applyFill="1" applyBorder="1" applyAlignment="1">
      <alignment horizontal="center" vertical="center" wrapText="1"/>
    </xf>
    <xf numFmtId="192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26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right" vertical="center" wrapText="1"/>
    </xf>
    <xf numFmtId="192" fontId="18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/>
    </xf>
    <xf numFmtId="49" fontId="2" fillId="26" borderId="0" xfId="0" applyNumberFormat="1" applyFont="1" applyFill="1" applyBorder="1" applyAlignment="1">
      <alignment horizontal="center" vertical="center"/>
    </xf>
    <xf numFmtId="1" fontId="2" fillId="26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right" vertical="center" wrapText="1"/>
    </xf>
    <xf numFmtId="192" fontId="0" fillId="26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192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9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1" fontId="25" fillId="0" borderId="0" xfId="0" applyNumberFormat="1" applyFont="1" applyBorder="1" applyAlignment="1">
      <alignment horizontal="center" vertical="center"/>
    </xf>
    <xf numFmtId="1" fontId="25" fillId="0" borderId="0" xfId="0" applyNumberFormat="1" applyFont="1" applyBorder="1" applyAlignment="1" applyProtection="1">
      <alignment horizontal="center" vertical="center"/>
      <protection/>
    </xf>
    <xf numFmtId="1" fontId="25" fillId="26" borderId="0" xfId="0" applyNumberFormat="1" applyFont="1" applyFill="1" applyBorder="1" applyAlignment="1">
      <alignment horizontal="center" vertical="center"/>
    </xf>
    <xf numFmtId="1" fontId="25" fillId="26" borderId="0" xfId="0" applyNumberFormat="1" applyFont="1" applyFill="1" applyBorder="1" applyAlignment="1" applyProtection="1">
      <alignment horizontal="center" vertical="center"/>
      <protection/>
    </xf>
    <xf numFmtId="192" fontId="25" fillId="26" borderId="0" xfId="0" applyNumberFormat="1" applyFont="1" applyFill="1" applyBorder="1" applyAlignment="1">
      <alignment horizontal="center" vertical="center"/>
    </xf>
    <xf numFmtId="192" fontId="25" fillId="26" borderId="0" xfId="0" applyNumberFormat="1" applyFont="1" applyFill="1" applyBorder="1" applyAlignment="1" applyProtection="1">
      <alignment horizontal="center" vertical="center"/>
      <protection/>
    </xf>
    <xf numFmtId="192" fontId="25" fillId="0" borderId="0" xfId="0" applyNumberFormat="1" applyFont="1" applyBorder="1" applyAlignment="1">
      <alignment horizontal="center" vertical="center"/>
    </xf>
    <xf numFmtId="192" fontId="25" fillId="0" borderId="0" xfId="0" applyNumberFormat="1" applyFont="1" applyBorder="1" applyAlignment="1" applyProtection="1">
      <alignment horizontal="center" vertical="center"/>
      <protection/>
    </xf>
    <xf numFmtId="1" fontId="24" fillId="0" borderId="0" xfId="0" applyNumberFormat="1" applyFont="1" applyBorder="1" applyAlignment="1" applyProtection="1">
      <alignment horizontal="center" vertical="center"/>
      <protection/>
    </xf>
    <xf numFmtId="1" fontId="25" fillId="0" borderId="0" xfId="0" applyNumberFormat="1" applyFont="1" applyBorder="1" applyAlignment="1" applyProtection="1">
      <alignment horizontal="center" vertical="center"/>
      <protection hidden="1"/>
    </xf>
    <xf numFmtId="49" fontId="24" fillId="0" borderId="0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left" vertical="center"/>
    </xf>
    <xf numFmtId="192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192" fontId="24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" fontId="24" fillId="0" borderId="0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49" fontId="24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right" vertical="top"/>
    </xf>
    <xf numFmtId="0" fontId="20" fillId="26" borderId="17" xfId="0" applyFont="1" applyFill="1" applyBorder="1" applyAlignment="1">
      <alignment horizontal="center" vertical="center"/>
    </xf>
    <xf numFmtId="1" fontId="3" fillId="26" borderId="16" xfId="0" applyNumberFormat="1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 wrapText="1"/>
    </xf>
    <xf numFmtId="1" fontId="3" fillId="26" borderId="19" xfId="0" applyNumberFormat="1" applyFont="1" applyFill="1" applyBorder="1" applyAlignment="1">
      <alignment horizontal="center" vertical="center"/>
    </xf>
    <xf numFmtId="1" fontId="3" fillId="26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17" fillId="26" borderId="10" xfId="0" applyFont="1" applyFill="1" applyBorder="1" applyAlignment="1">
      <alignment horizontal="center" vertical="center" wrapText="1"/>
    </xf>
    <xf numFmtId="0" fontId="14" fillId="26" borderId="10" xfId="0" applyFont="1" applyFill="1" applyBorder="1" applyAlignment="1">
      <alignment vertical="center" wrapText="1"/>
    </xf>
    <xf numFmtId="0" fontId="18" fillId="26" borderId="10" xfId="0" applyFont="1" applyFill="1" applyBorder="1" applyAlignment="1">
      <alignment horizontal="center" vertical="center" wrapText="1"/>
    </xf>
    <xf numFmtId="0" fontId="15" fillId="26" borderId="10" xfId="0" applyFont="1" applyFill="1" applyBorder="1" applyAlignment="1">
      <alignment horizontal="center" vertical="center"/>
    </xf>
    <xf numFmtId="0" fontId="14" fillId="26" borderId="10" xfId="0" applyFont="1" applyFill="1" applyBorder="1" applyAlignment="1">
      <alignment horizontal="left" vertical="center" wrapText="1"/>
    </xf>
    <xf numFmtId="1" fontId="35" fillId="0" borderId="10" xfId="0" applyNumberFormat="1" applyFont="1" applyFill="1" applyBorder="1" applyAlignment="1">
      <alignment horizontal="center" vertical="center"/>
    </xf>
    <xf numFmtId="192" fontId="13" fillId="0" borderId="10" xfId="56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192" fontId="2" fillId="26" borderId="10" xfId="0" applyNumberFormat="1" applyFont="1" applyFill="1" applyBorder="1" applyAlignment="1">
      <alignment horizontal="center" vertical="center" wrapText="1"/>
    </xf>
    <xf numFmtId="194" fontId="0" fillId="0" borderId="10" xfId="0" applyNumberFormat="1" applyFont="1" applyFill="1" applyBorder="1" applyAlignment="1">
      <alignment horizontal="center" vertical="center"/>
    </xf>
    <xf numFmtId="192" fontId="11" fillId="0" borderId="10" xfId="0" applyNumberFormat="1" applyFont="1" applyFill="1" applyBorder="1" applyAlignment="1">
      <alignment horizontal="center" vertical="center"/>
    </xf>
    <xf numFmtId="1" fontId="0" fillId="25" borderId="10" xfId="0" applyNumberFormat="1" applyFont="1" applyFill="1" applyBorder="1" applyAlignment="1">
      <alignment horizontal="center" vertical="center" wrapText="1"/>
    </xf>
    <xf numFmtId="1" fontId="0" fillId="26" borderId="10" xfId="0" applyNumberFormat="1" applyFont="1" applyFill="1" applyBorder="1" applyAlignment="1">
      <alignment horizontal="center" vertical="center" wrapText="1"/>
    </xf>
    <xf numFmtId="192" fontId="0" fillId="0" borderId="10" xfId="0" applyNumberFormat="1" applyFont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right" vertical="center"/>
    </xf>
    <xf numFmtId="1" fontId="13" fillId="2" borderId="10" xfId="56" applyNumberFormat="1" applyFont="1" applyFill="1" applyBorder="1" applyAlignment="1">
      <alignment horizontal="center" vertical="center"/>
      <protection/>
    </xf>
    <xf numFmtId="2" fontId="9" fillId="0" borderId="10" xfId="0" applyNumberFormat="1" applyFont="1" applyFill="1" applyBorder="1" applyAlignment="1">
      <alignment horizontal="center" vertical="center"/>
    </xf>
    <xf numFmtId="0" fontId="0" fillId="26" borderId="10" xfId="55" applyFont="1" applyFill="1" applyBorder="1" applyAlignment="1">
      <alignment horizontal="center" vertical="center"/>
      <protection/>
    </xf>
    <xf numFmtId="0" fontId="14" fillId="26" borderId="0" xfId="0" applyFont="1" applyFill="1" applyBorder="1" applyAlignment="1">
      <alignment vertical="center"/>
    </xf>
    <xf numFmtId="1" fontId="29" fillId="26" borderId="0" xfId="0" applyNumberFormat="1" applyFont="1" applyFill="1" applyBorder="1" applyAlignment="1">
      <alignment horizontal="center" vertical="top"/>
    </xf>
    <xf numFmtId="1" fontId="29" fillId="26" borderId="0" xfId="0" applyNumberFormat="1" applyFont="1" applyFill="1" applyBorder="1" applyAlignment="1">
      <alignment vertical="top"/>
    </xf>
    <xf numFmtId="0" fontId="14" fillId="26" borderId="0" xfId="0" applyFont="1" applyFill="1" applyBorder="1" applyAlignment="1">
      <alignment vertical="center" wrapText="1"/>
    </xf>
    <xf numFmtId="0" fontId="14" fillId="26" borderId="0" xfId="0" applyFont="1" applyFill="1" applyBorder="1" applyAlignment="1">
      <alignment horizontal="left" vertical="center" wrapText="1"/>
    </xf>
    <xf numFmtId="0" fontId="14" fillId="26" borderId="10" xfId="0" applyFont="1" applyFill="1" applyBorder="1" applyAlignment="1">
      <alignment vertical="center" wrapText="1"/>
    </xf>
    <xf numFmtId="0" fontId="18" fillId="26" borderId="10" xfId="0" applyFont="1" applyFill="1" applyBorder="1" applyAlignment="1">
      <alignment horizontal="center" vertical="center"/>
    </xf>
    <xf numFmtId="0" fontId="18" fillId="26" borderId="10" xfId="0" applyFont="1" applyFill="1" applyBorder="1" applyAlignment="1">
      <alignment horizontal="center" vertical="center" wrapText="1"/>
    </xf>
    <xf numFmtId="0" fontId="15" fillId="26" borderId="10" xfId="0" applyFont="1" applyFill="1" applyBorder="1" applyAlignment="1">
      <alignment horizontal="center" vertical="center"/>
    </xf>
    <xf numFmtId="0" fontId="16" fillId="26" borderId="0" xfId="0" applyFont="1" applyFill="1" applyAlignment="1">
      <alignment/>
    </xf>
    <xf numFmtId="0" fontId="14" fillId="26" borderId="10" xfId="0" applyFont="1" applyFill="1" applyBorder="1" applyAlignment="1">
      <alignment horizontal="left" vertical="center" wrapText="1"/>
    </xf>
    <xf numFmtId="0" fontId="38" fillId="26" borderId="10" xfId="0" applyFont="1" applyFill="1" applyBorder="1" applyAlignment="1">
      <alignment horizontal="center" vertical="center" wrapText="1"/>
    </xf>
    <xf numFmtId="0" fontId="39" fillId="26" borderId="10" xfId="0" applyFont="1" applyFill="1" applyBorder="1" applyAlignment="1">
      <alignment horizontal="center" vertical="center"/>
    </xf>
    <xf numFmtId="192" fontId="27" fillId="26" borderId="10" xfId="0" applyNumberFormat="1" applyFont="1" applyFill="1" applyBorder="1" applyAlignment="1">
      <alignment horizontal="center" vertical="center"/>
    </xf>
    <xf numFmtId="0" fontId="2" fillId="26" borderId="0" xfId="0" applyFont="1" applyFill="1" applyAlignment="1">
      <alignment/>
    </xf>
    <xf numFmtId="0" fontId="14" fillId="26" borderId="0" xfId="0" applyFont="1" applyFill="1" applyBorder="1" applyAlignment="1">
      <alignment vertical="top"/>
    </xf>
    <xf numFmtId="192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" fontId="3" fillId="26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2" fontId="19" fillId="26" borderId="10" xfId="55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right" vertical="center" wrapText="1"/>
    </xf>
    <xf numFmtId="1" fontId="0" fillId="27" borderId="10" xfId="0" applyNumberFormat="1" applyFont="1" applyFill="1" applyBorder="1" applyAlignment="1">
      <alignment horizontal="center" vertical="center" wrapText="1"/>
    </xf>
    <xf numFmtId="1" fontId="0" fillId="26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92" fontId="0" fillId="0" borderId="10" xfId="0" applyNumberFormat="1" applyFont="1" applyBorder="1" applyAlignment="1">
      <alignment horizontal="center" vertical="center" wrapText="1"/>
    </xf>
    <xf numFmtId="192" fontId="9" fillId="26" borderId="10" xfId="0" applyNumberFormat="1" applyFont="1" applyFill="1" applyBorder="1" applyAlignment="1">
      <alignment horizontal="center" vertical="center" wrapText="1"/>
    </xf>
    <xf numFmtId="0" fontId="0" fillId="0" borderId="10" xfId="55" applyFont="1" applyFill="1" applyBorder="1" applyAlignment="1">
      <alignment horizontal="right" vertical="center" wrapText="1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192" fontId="9" fillId="0" borderId="10" xfId="0" applyNumberFormat="1" applyFont="1" applyFill="1" applyBorder="1" applyAlignment="1">
      <alignment horizontal="center" vertical="center"/>
    </xf>
    <xf numFmtId="1" fontId="0" fillId="27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 applyProtection="1">
      <alignment horizontal="center" vertical="center" wrapText="1"/>
      <protection/>
    </xf>
    <xf numFmtId="192" fontId="13" fillId="0" borderId="10" xfId="56" applyNumberFormat="1" applyFont="1" applyBorder="1" applyAlignment="1">
      <alignment horizontal="center" vertical="center" wrapText="1"/>
      <protection/>
    </xf>
    <xf numFmtId="0" fontId="0" fillId="26" borderId="10" xfId="0" applyFont="1" applyFill="1" applyBorder="1" applyAlignment="1">
      <alignment horizontal="center" vertical="center" wrapText="1"/>
    </xf>
    <xf numFmtId="0" fontId="2" fillId="26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26" borderId="0" xfId="0" applyNumberFormat="1" applyFont="1" applyFill="1" applyBorder="1" applyAlignment="1">
      <alignment/>
    </xf>
    <xf numFmtId="0" fontId="2" fillId="26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6" borderId="0" xfId="0" applyFont="1" applyFill="1" applyBorder="1" applyAlignment="1">
      <alignment/>
    </xf>
    <xf numFmtId="0" fontId="16" fillId="26" borderId="0" xfId="0" applyFont="1" applyFill="1" applyBorder="1" applyAlignment="1">
      <alignment/>
    </xf>
    <xf numFmtId="0" fontId="2" fillId="26" borderId="0" xfId="0" applyFont="1" applyFill="1" applyBorder="1" applyAlignment="1">
      <alignment/>
    </xf>
    <xf numFmtId="1" fontId="0" fillId="26" borderId="0" xfId="0" applyNumberFormat="1" applyFont="1" applyFill="1" applyBorder="1" applyAlignment="1">
      <alignment/>
    </xf>
    <xf numFmtId="1" fontId="0" fillId="26" borderId="0" xfId="0" applyNumberFormat="1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vertical="center"/>
    </xf>
    <xf numFmtId="192" fontId="0" fillId="26" borderId="0" xfId="0" applyNumberFormat="1" applyFont="1" applyFill="1" applyBorder="1" applyAlignment="1">
      <alignment vertical="center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92" fontId="40" fillId="0" borderId="10" xfId="0" applyNumberFormat="1" applyFont="1" applyBorder="1" applyAlignment="1">
      <alignment horizontal="center" vertical="center" wrapText="1"/>
    </xf>
    <xf numFmtId="192" fontId="17" fillId="26" borderId="10" xfId="0" applyNumberFormat="1" applyFont="1" applyFill="1" applyBorder="1" applyAlignment="1">
      <alignment horizontal="center" vertical="center" wrapText="1"/>
    </xf>
    <xf numFmtId="192" fontId="9" fillId="26" borderId="10" xfId="0" applyNumberFormat="1" applyFont="1" applyFill="1" applyBorder="1" applyAlignment="1">
      <alignment horizontal="center" vertical="center" wrapText="1"/>
    </xf>
    <xf numFmtId="192" fontId="17" fillId="26" borderId="10" xfId="0" applyNumberFormat="1" applyFont="1" applyFill="1" applyBorder="1" applyAlignment="1">
      <alignment horizontal="center" vertical="center"/>
    </xf>
    <xf numFmtId="192" fontId="34" fillId="26" borderId="10" xfId="0" applyNumberFormat="1" applyFont="1" applyFill="1" applyBorder="1" applyAlignment="1">
      <alignment horizontal="center" vertical="center"/>
    </xf>
    <xf numFmtId="192" fontId="34" fillId="26" borderId="10" xfId="0" applyNumberFormat="1" applyFont="1" applyFill="1" applyBorder="1" applyAlignment="1">
      <alignment horizontal="center" vertical="center" wrapText="1"/>
    </xf>
    <xf numFmtId="192" fontId="17" fillId="2" borderId="10" xfId="0" applyNumberFormat="1" applyFont="1" applyFill="1" applyBorder="1" applyAlignment="1">
      <alignment horizontal="center" vertical="center" wrapText="1"/>
    </xf>
    <xf numFmtId="192" fontId="40" fillId="2" borderId="10" xfId="0" applyNumberFormat="1" applyFont="1" applyFill="1" applyBorder="1" applyAlignment="1">
      <alignment horizontal="center" vertical="center" wrapText="1"/>
    </xf>
    <xf numFmtId="1" fontId="9" fillId="26" borderId="10" xfId="0" applyNumberFormat="1" applyFont="1" applyFill="1" applyBorder="1" applyAlignment="1">
      <alignment horizontal="center" vertical="center" wrapText="1"/>
    </xf>
    <xf numFmtId="192" fontId="40" fillId="26" borderId="10" xfId="0" applyNumberFormat="1" applyFont="1" applyFill="1" applyBorder="1" applyAlignment="1">
      <alignment horizontal="center" vertical="center" wrapText="1"/>
    </xf>
    <xf numFmtId="192" fontId="17" fillId="26" borderId="10" xfId="0" applyNumberFormat="1" applyFont="1" applyFill="1" applyBorder="1" applyAlignment="1">
      <alignment horizontal="center" vertical="center" wrapText="1"/>
    </xf>
    <xf numFmtId="192" fontId="17" fillId="0" borderId="10" xfId="0" applyNumberFormat="1" applyFont="1" applyBorder="1" applyAlignment="1">
      <alignment horizontal="center" vertical="center" wrapText="1"/>
    </xf>
    <xf numFmtId="192" fontId="17" fillId="26" borderId="10" xfId="55" applyNumberFormat="1" applyFont="1" applyFill="1" applyBorder="1" applyAlignment="1">
      <alignment horizontal="center" vertical="center" wrapText="1"/>
      <protection/>
    </xf>
    <xf numFmtId="1" fontId="40" fillId="26" borderId="10" xfId="0" applyNumberFormat="1" applyFont="1" applyFill="1" applyBorder="1" applyAlignment="1">
      <alignment horizontal="center" vertical="center" wrapText="1"/>
    </xf>
    <xf numFmtId="1" fontId="9" fillId="26" borderId="10" xfId="0" applyNumberFormat="1" applyFont="1" applyFill="1" applyBorder="1" applyAlignment="1">
      <alignment horizontal="center" vertical="center" wrapText="1"/>
    </xf>
    <xf numFmtId="2" fontId="17" fillId="26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192" fontId="17" fillId="0" borderId="10" xfId="0" applyNumberFormat="1" applyFont="1" applyBorder="1" applyAlignment="1">
      <alignment horizontal="center" vertical="center"/>
    </xf>
    <xf numFmtId="192" fontId="9" fillId="0" borderId="10" xfId="0" applyNumberFormat="1" applyFont="1" applyBorder="1" applyAlignment="1">
      <alignment horizontal="center" vertical="center"/>
    </xf>
    <xf numFmtId="192" fontId="17" fillId="0" borderId="10" xfId="0" applyNumberFormat="1" applyFont="1" applyFill="1" applyBorder="1" applyAlignment="1">
      <alignment horizontal="center" vertical="center" wrapText="1"/>
    </xf>
    <xf numFmtId="192" fontId="40" fillId="2" borderId="10" xfId="0" applyNumberFormat="1" applyFont="1" applyFill="1" applyBorder="1" applyAlignment="1">
      <alignment horizontal="center" vertical="center" wrapText="1"/>
    </xf>
    <xf numFmtId="192" fontId="40" fillId="26" borderId="10" xfId="0" applyNumberFormat="1" applyFont="1" applyFill="1" applyBorder="1" applyAlignment="1">
      <alignment horizontal="center" vertical="center" wrapText="1"/>
    </xf>
    <xf numFmtId="192" fontId="17" fillId="0" borderId="10" xfId="0" applyNumberFormat="1" applyFont="1" applyFill="1" applyBorder="1" applyAlignment="1">
      <alignment horizontal="center" vertical="center" wrapText="1"/>
    </xf>
    <xf numFmtId="192" fontId="28" fillId="0" borderId="10" xfId="0" applyNumberFormat="1" applyFont="1" applyFill="1" applyBorder="1" applyAlignment="1">
      <alignment horizontal="center" vertical="center" wrapText="1"/>
    </xf>
    <xf numFmtId="1" fontId="40" fillId="0" borderId="10" xfId="0" applyNumberFormat="1" applyFont="1" applyFill="1" applyBorder="1" applyAlignment="1">
      <alignment horizontal="center" vertical="center" wrapText="1"/>
    </xf>
    <xf numFmtId="192" fontId="9" fillId="0" borderId="10" xfId="0" applyNumberFormat="1" applyFont="1" applyBorder="1" applyAlignment="1">
      <alignment horizontal="center" vertical="center" wrapText="1"/>
    </xf>
    <xf numFmtId="192" fontId="40" fillId="0" borderId="10" xfId="0" applyNumberFormat="1" applyFont="1" applyFill="1" applyBorder="1" applyAlignment="1">
      <alignment horizontal="center" vertical="center" wrapText="1"/>
    </xf>
    <xf numFmtId="192" fontId="40" fillId="26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9" fillId="26" borderId="10" xfId="0" applyNumberFormat="1" applyFont="1" applyFill="1" applyBorder="1" applyAlignment="1">
      <alignment horizontal="center" vertical="center" wrapText="1"/>
    </xf>
    <xf numFmtId="192" fontId="17" fillId="0" borderId="10" xfId="0" applyNumberFormat="1" applyFont="1" applyFill="1" applyBorder="1" applyAlignment="1">
      <alignment horizontal="center" vertical="center"/>
    </xf>
    <xf numFmtId="192" fontId="17" fillId="0" borderId="10" xfId="0" applyNumberFormat="1" applyFont="1" applyFill="1" applyBorder="1" applyAlignment="1">
      <alignment horizontal="center" wrapText="1"/>
    </xf>
    <xf numFmtId="1" fontId="40" fillId="0" borderId="10" xfId="0" applyNumberFormat="1" applyFont="1" applyBorder="1" applyAlignment="1">
      <alignment horizontal="center" vertical="center" wrapText="1"/>
    </xf>
    <xf numFmtId="192" fontId="9" fillId="26" borderId="10" xfId="55" applyNumberFormat="1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top"/>
    </xf>
    <xf numFmtId="192" fontId="17" fillId="0" borderId="10" xfId="55" applyNumberFormat="1" applyFont="1" applyFill="1" applyBorder="1" applyAlignment="1">
      <alignment horizontal="center" vertical="center" wrapText="1"/>
      <protection/>
    </xf>
    <xf numFmtId="192" fontId="17" fillId="0" borderId="10" xfId="55" applyNumberFormat="1" applyFont="1" applyBorder="1" applyAlignment="1">
      <alignment horizontal="center" vertical="center" wrapText="1"/>
      <protection/>
    </xf>
    <xf numFmtId="2" fontId="9" fillId="26" borderId="10" xfId="0" applyNumberFormat="1" applyFont="1" applyFill="1" applyBorder="1" applyAlignment="1">
      <alignment horizontal="center" vertical="center"/>
    </xf>
    <xf numFmtId="2" fontId="17" fillId="26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vertical="center"/>
    </xf>
    <xf numFmtId="2" fontId="17" fillId="0" borderId="10" xfId="0" applyNumberFormat="1" applyFont="1" applyFill="1" applyBorder="1" applyAlignment="1">
      <alignment horizontal="center" vertical="center"/>
    </xf>
    <xf numFmtId="192" fontId="17" fillId="0" borderId="0" xfId="0" applyNumberFormat="1" applyFont="1" applyFill="1" applyAlignment="1">
      <alignment horizontal="center" wrapText="1"/>
    </xf>
    <xf numFmtId="192" fontId="9" fillId="26" borderId="0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Alignment="1">
      <alignment horizontal="center" wrapText="1"/>
    </xf>
    <xf numFmtId="0" fontId="24" fillId="26" borderId="17" xfId="0" applyFont="1" applyFill="1" applyBorder="1" applyAlignment="1">
      <alignment horizontal="center" vertical="center" wrapText="1"/>
    </xf>
    <xf numFmtId="0" fontId="9" fillId="26" borderId="10" xfId="0" applyFont="1" applyFill="1" applyBorder="1" applyAlignment="1">
      <alignment horizontal="center" vertical="center"/>
    </xf>
    <xf numFmtId="1" fontId="17" fillId="26" borderId="10" xfId="0" applyNumberFormat="1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left" vertical="center"/>
    </xf>
    <xf numFmtId="0" fontId="2" fillId="26" borderId="10" xfId="0" applyFont="1" applyFill="1" applyBorder="1" applyAlignment="1">
      <alignment horizontal="left" vertical="center"/>
    </xf>
    <xf numFmtId="0" fontId="9" fillId="26" borderId="10" xfId="0" applyFont="1" applyFill="1" applyBorder="1" applyAlignment="1">
      <alignment horizontal="center" vertical="center" wrapText="1"/>
    </xf>
    <xf numFmtId="0" fontId="9" fillId="26" borderId="10" xfId="0" applyFont="1" applyFill="1" applyBorder="1" applyAlignment="1">
      <alignment horizontal="center" vertical="center" wrapText="1"/>
    </xf>
    <xf numFmtId="1" fontId="2" fillId="26" borderId="23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5" fillId="0" borderId="23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1" fontId="3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2" fillId="0" borderId="10" xfId="55" applyFont="1" applyFill="1" applyBorder="1" applyAlignment="1">
      <alignment horizontal="left" vertical="center" wrapText="1"/>
      <protection/>
    </xf>
    <xf numFmtId="0" fontId="12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2" fillId="26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92" fontId="9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" fillId="26" borderId="10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26" borderId="10" xfId="0" applyFont="1" applyFill="1" applyBorder="1" applyAlignment="1">
      <alignment horizontal="center" vertical="center" wrapText="1"/>
    </xf>
    <xf numFmtId="0" fontId="37" fillId="26" borderId="10" xfId="0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/>
    </xf>
    <xf numFmtId="0" fontId="1" fillId="28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1" fillId="26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55" applyFont="1" applyFill="1" applyBorder="1" applyAlignment="1">
      <alignment horizontal="left" vertical="center"/>
      <protection/>
    </xf>
    <xf numFmtId="0" fontId="16" fillId="0" borderId="23" xfId="0" applyFont="1" applyFill="1" applyBorder="1" applyAlignment="1">
      <alignment horizontal="right" vertical="center" wrapText="1"/>
    </xf>
    <xf numFmtId="0" fontId="16" fillId="0" borderId="22" xfId="0" applyFont="1" applyFill="1" applyBorder="1" applyAlignment="1">
      <alignment horizontal="right" vertical="center" wrapText="1"/>
    </xf>
    <xf numFmtId="0" fontId="16" fillId="0" borderId="13" xfId="0" applyFont="1" applyFill="1" applyBorder="1" applyAlignment="1">
      <alignment horizontal="right" vertical="center" wrapText="1"/>
    </xf>
    <xf numFmtId="0" fontId="2" fillId="26" borderId="10" xfId="0" applyFont="1" applyFill="1" applyBorder="1" applyAlignment="1">
      <alignment horizontal="left" vertical="center"/>
    </xf>
    <xf numFmtId="0" fontId="2" fillId="26" borderId="10" xfId="55" applyFont="1" applyFill="1" applyBorder="1" applyAlignment="1">
      <alignment horizontal="left" vertical="center"/>
      <protection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9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/>
    </xf>
    <xf numFmtId="1" fontId="25" fillId="0" borderId="0" xfId="0" applyNumberFormat="1" applyFont="1" applyBorder="1" applyAlignment="1">
      <alignment horizontal="left" vertical="center" wrapText="1"/>
    </xf>
    <xf numFmtId="1" fontId="24" fillId="0" borderId="0" xfId="0" applyNumberFormat="1" applyFont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3" fillId="26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192" fontId="17" fillId="0" borderId="10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2" fillId="26" borderId="21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9" fillId="26" borderId="10" xfId="0" applyFont="1" applyFill="1" applyBorder="1" applyAlignment="1">
      <alignment horizontal="center" vertical="center" wrapText="1"/>
    </xf>
    <xf numFmtId="0" fontId="14" fillId="26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26" borderId="10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1" fontId="34" fillId="0" borderId="12" xfId="0" applyNumberFormat="1" applyFont="1" applyFill="1" applyBorder="1" applyAlignment="1">
      <alignment horizontal="center" vertical="center" wrapText="1"/>
    </xf>
    <xf numFmtId="1" fontId="34" fillId="0" borderId="29" xfId="0" applyNumberFormat="1" applyFont="1" applyFill="1" applyBorder="1" applyAlignment="1">
      <alignment horizontal="center" vertical="center" wrapText="1"/>
    </xf>
    <xf numFmtId="1" fontId="34" fillId="0" borderId="11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Обычный_Лист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obmen$\&#1054;&#1073;&#1097;&#1072;&#1103;\&#1052;&#1045;&#1053;&#1070;\&#1052;&#1045;&#1053;&#1070;%202021\&#1043;&#1080;&#1084;&#1085;&#1072;&#1079;&#1080;&#1103;%20&#1070;&#1075;&#1086;&#1088;&#1089;&#1082;%20&#1052;&#1072;&#1083;&#1080;&#1082;\&#1052;&#1077;&#1085;&#1102;%2012%20&#1076;&#1085;\&#1052;&#1045;&#1053;&#1070;%2012%20&#1076;&#1085;%20&#1089;%2012%20&#1083;&#1077;&#1090;%20(&#1079;&#1072;&#1074;&#1090;&#1088;&#1072;&#1082;,%20&#1086;&#1073;&#1077;&#1076;)&#1085;&#1086;&#1074;&#1086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накопительная"/>
      <sheetName val="Ценность "/>
      <sheetName val="рацион питания"/>
      <sheetName val="объема"/>
      <sheetName val="провер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88"/>
  <sheetViews>
    <sheetView zoomScaleSheetLayoutView="100" zoomScalePageLayoutView="0" workbookViewId="0" topLeftCell="A34">
      <selection activeCell="Y13" sqref="Y13"/>
    </sheetView>
  </sheetViews>
  <sheetFormatPr defaultColWidth="9.140625" defaultRowHeight="24.75" customHeight="1" outlineLevelCol="1"/>
  <cols>
    <col min="1" max="1" width="52.7109375" style="179" customWidth="1"/>
    <col min="2" max="3" width="11.7109375" style="180" customWidth="1"/>
    <col min="4" max="4" width="11.7109375" style="180" customWidth="1" outlineLevel="1"/>
    <col min="5" max="8" width="11.7109375" style="255" customWidth="1" outlineLevel="1"/>
    <col min="9" max="9" width="11.7109375" style="489" customWidth="1" outlineLevel="1"/>
    <col min="10" max="10" width="3.28125" style="0" customWidth="1"/>
    <col min="11" max="11" width="13.140625" style="0" hidden="1" customWidth="1" outlineLevel="1"/>
    <col min="12" max="12" width="10.28125" style="0" hidden="1" customWidth="1" outlineLevel="1"/>
    <col min="13" max="13" width="9.140625" style="0" hidden="1" customWidth="1" outlineLevel="1"/>
    <col min="14" max="14" width="8.8515625" style="0" hidden="1" customWidth="1" outlineLevel="1"/>
    <col min="15" max="19" width="9.140625" style="0" hidden="1" customWidth="1" outlineLevel="1"/>
    <col min="20" max="20" width="1.28515625" style="0" hidden="1" customWidth="1" outlineLevel="1"/>
    <col min="21" max="21" width="9.140625" style="0" customWidth="1" collapsed="1"/>
  </cols>
  <sheetData>
    <row r="1" spans="1:9" s="16" customFormat="1" ht="46.5" customHeight="1">
      <c r="A1" s="527" t="s">
        <v>242</v>
      </c>
      <c r="B1" s="527"/>
      <c r="C1" s="527"/>
      <c r="D1" s="527"/>
      <c r="E1" s="527"/>
      <c r="F1" s="527"/>
      <c r="G1" s="527"/>
      <c r="H1" s="528"/>
      <c r="I1" s="527"/>
    </row>
    <row r="2" spans="1:9" s="13" customFormat="1" ht="27" customHeight="1">
      <c r="A2" s="529" t="s">
        <v>243</v>
      </c>
      <c r="B2" s="529"/>
      <c r="C2" s="529"/>
      <c r="D2" s="529"/>
      <c r="E2" s="529"/>
      <c r="F2" s="529"/>
      <c r="G2" s="529"/>
      <c r="H2" s="530"/>
      <c r="I2" s="529"/>
    </row>
    <row r="3" spans="1:12" s="13" customFormat="1" ht="27" customHeight="1">
      <c r="A3" s="530" t="s">
        <v>509</v>
      </c>
      <c r="B3" s="530"/>
      <c r="C3" s="530"/>
      <c r="D3" s="530"/>
      <c r="E3" s="530"/>
      <c r="F3" s="530"/>
      <c r="G3" s="530"/>
      <c r="H3" s="530"/>
      <c r="I3" s="530"/>
      <c r="K3" s="1" t="s">
        <v>59</v>
      </c>
      <c r="L3" s="1"/>
    </row>
    <row r="4" spans="1:12" s="13" customFormat="1" ht="60.75" customHeight="1">
      <c r="A4" s="531" t="s">
        <v>244</v>
      </c>
      <c r="B4" s="531"/>
      <c r="C4" s="531"/>
      <c r="D4" s="531"/>
      <c r="E4" s="531"/>
      <c r="F4" s="531"/>
      <c r="G4" s="531"/>
      <c r="H4" s="531"/>
      <c r="I4" s="531"/>
      <c r="K4" s="6" t="s">
        <v>27</v>
      </c>
      <c r="L4" s="13">
        <f>+D110</f>
        <v>60</v>
      </c>
    </row>
    <row r="5" spans="1:12" s="2" customFormat="1" ht="30" customHeight="1">
      <c r="A5" s="540" t="s">
        <v>91</v>
      </c>
      <c r="B5" s="540"/>
      <c r="C5" s="540"/>
      <c r="D5" s="540"/>
      <c r="E5" s="540"/>
      <c r="F5" s="540"/>
      <c r="G5" s="540"/>
      <c r="H5" s="540"/>
      <c r="I5" s="540"/>
      <c r="K5" s="7" t="s">
        <v>28</v>
      </c>
      <c r="L5" s="10">
        <f>+D108++B11</f>
        <v>100</v>
      </c>
    </row>
    <row r="6" spans="1:12" s="1" customFormat="1" ht="30" customHeight="1">
      <c r="A6" s="515" t="s">
        <v>0</v>
      </c>
      <c r="B6" s="517" t="s">
        <v>6</v>
      </c>
      <c r="C6" s="517" t="s">
        <v>7</v>
      </c>
      <c r="D6" s="515" t="s">
        <v>5</v>
      </c>
      <c r="E6" s="515"/>
      <c r="F6" s="515"/>
      <c r="G6" s="515"/>
      <c r="H6" s="515"/>
      <c r="I6" s="515"/>
      <c r="K6" s="8" t="s">
        <v>29</v>
      </c>
      <c r="L6" s="24">
        <f>+C88</f>
        <v>2.5</v>
      </c>
    </row>
    <row r="7" spans="1:12" s="13" customFormat="1" ht="30" customHeight="1">
      <c r="A7" s="515"/>
      <c r="B7" s="517"/>
      <c r="C7" s="517"/>
      <c r="D7" s="517" t="s">
        <v>8</v>
      </c>
      <c r="E7" s="519" t="s">
        <v>1</v>
      </c>
      <c r="F7" s="519" t="s">
        <v>2</v>
      </c>
      <c r="G7" s="519" t="s">
        <v>9</v>
      </c>
      <c r="H7" s="532" t="s">
        <v>3</v>
      </c>
      <c r="I7" s="513" t="s">
        <v>245</v>
      </c>
      <c r="K7" s="9" t="s">
        <v>53</v>
      </c>
      <c r="L7" s="24">
        <f>B15+B16</f>
        <v>26</v>
      </c>
    </row>
    <row r="8" spans="1:12" s="1" customFormat="1" ht="30" customHeight="1">
      <c r="A8" s="515"/>
      <c r="B8" s="517"/>
      <c r="C8" s="517"/>
      <c r="D8" s="517"/>
      <c r="E8" s="519"/>
      <c r="F8" s="519"/>
      <c r="G8" s="519"/>
      <c r="H8" s="532"/>
      <c r="I8" s="513"/>
      <c r="K8" s="9" t="s">
        <v>87</v>
      </c>
      <c r="L8" s="24"/>
    </row>
    <row r="9" spans="1:12" s="13" customFormat="1" ht="30" customHeight="1">
      <c r="A9" s="507" t="s">
        <v>132</v>
      </c>
      <c r="B9" s="507"/>
      <c r="C9" s="507"/>
      <c r="D9" s="184">
        <f>55+D14+D40+D44</f>
        <v>605</v>
      </c>
      <c r="E9" s="143">
        <f>E10+E14++E40+E44</f>
        <v>18.5</v>
      </c>
      <c r="F9" s="143">
        <f>F10+F14++F40+F44</f>
        <v>21.400000000000002</v>
      </c>
      <c r="G9" s="143">
        <f>G10+G14++G40+G44</f>
        <v>81.69999999999999</v>
      </c>
      <c r="H9" s="143">
        <f>H10+H14++H40+H44</f>
        <v>593.4000000000001</v>
      </c>
      <c r="I9" s="442"/>
      <c r="K9" s="8" t="s">
        <v>30</v>
      </c>
      <c r="L9" s="24">
        <f>C72+C90+C47</f>
        <v>231</v>
      </c>
    </row>
    <row r="10" spans="1:12" s="13" customFormat="1" ht="30" customHeight="1">
      <c r="A10" s="218" t="s">
        <v>262</v>
      </c>
      <c r="B10" s="50"/>
      <c r="C10" s="50"/>
      <c r="D10" s="47" t="s">
        <v>207</v>
      </c>
      <c r="E10" s="64">
        <v>5.8</v>
      </c>
      <c r="F10" s="64">
        <v>9.2</v>
      </c>
      <c r="G10" s="64">
        <v>16.2</v>
      </c>
      <c r="H10" s="62">
        <f>G10*4+F10*9+E10*4</f>
        <v>170.79999999999998</v>
      </c>
      <c r="I10" s="302" t="s">
        <v>263</v>
      </c>
      <c r="K10" s="7" t="s">
        <v>31</v>
      </c>
      <c r="L10" s="24">
        <f>+C52+C53++C70+C76+C77++C81+C67+C86+C87+C78</f>
        <v>146.7</v>
      </c>
    </row>
    <row r="11" spans="1:12" s="13" customFormat="1" ht="30" customHeight="1">
      <c r="A11" s="75" t="s">
        <v>164</v>
      </c>
      <c r="B11" s="50">
        <v>30</v>
      </c>
      <c r="C11" s="50">
        <v>30</v>
      </c>
      <c r="D11" s="50"/>
      <c r="E11" s="144"/>
      <c r="F11" s="144"/>
      <c r="G11" s="144"/>
      <c r="H11" s="185"/>
      <c r="I11" s="443"/>
      <c r="K11" s="7" t="s">
        <v>32</v>
      </c>
      <c r="L11" s="13">
        <f>+D44</f>
        <v>150</v>
      </c>
    </row>
    <row r="12" spans="1:11" s="13" customFormat="1" ht="30" customHeight="1">
      <c r="A12" s="75" t="s">
        <v>19</v>
      </c>
      <c r="B12" s="33">
        <v>5</v>
      </c>
      <c r="C12" s="33">
        <v>5</v>
      </c>
      <c r="D12" s="50"/>
      <c r="E12" s="144"/>
      <c r="F12" s="144"/>
      <c r="G12" s="144"/>
      <c r="H12" s="185"/>
      <c r="I12" s="443"/>
      <c r="K12" s="8" t="s">
        <v>33</v>
      </c>
    </row>
    <row r="13" spans="1:12" s="13" customFormat="1" ht="30" customHeight="1">
      <c r="A13" s="75" t="s">
        <v>80</v>
      </c>
      <c r="B13" s="50">
        <v>21</v>
      </c>
      <c r="C13" s="50">
        <v>20</v>
      </c>
      <c r="D13" s="50"/>
      <c r="E13" s="144"/>
      <c r="F13" s="63"/>
      <c r="G13" s="63"/>
      <c r="H13" s="62"/>
      <c r="I13" s="443"/>
      <c r="K13" s="8" t="s">
        <v>34</v>
      </c>
      <c r="L13" s="10">
        <f>++B17+B42</f>
        <v>9</v>
      </c>
    </row>
    <row r="14" spans="1:12" s="13" customFormat="1" ht="30" customHeight="1">
      <c r="A14" s="533" t="s">
        <v>418</v>
      </c>
      <c r="B14" s="533"/>
      <c r="C14" s="533"/>
      <c r="D14" s="27">
        <v>200</v>
      </c>
      <c r="E14" s="63">
        <v>7.8</v>
      </c>
      <c r="F14" s="63">
        <v>8.9</v>
      </c>
      <c r="G14" s="63">
        <v>35.1</v>
      </c>
      <c r="H14" s="62">
        <f>G14*4+F14*9+E14*4</f>
        <v>251.7</v>
      </c>
      <c r="I14" s="444" t="s">
        <v>419</v>
      </c>
      <c r="K14" s="8" t="s">
        <v>35</v>
      </c>
      <c r="L14" s="13">
        <f>D100</f>
        <v>200</v>
      </c>
    </row>
    <row r="15" spans="1:12" s="1" customFormat="1" ht="30" customHeight="1">
      <c r="A15" s="80" t="s">
        <v>23</v>
      </c>
      <c r="B15" s="223">
        <v>15</v>
      </c>
      <c r="C15" s="223">
        <v>15</v>
      </c>
      <c r="D15" s="5"/>
      <c r="E15" s="144"/>
      <c r="F15" s="144"/>
      <c r="G15" s="144"/>
      <c r="H15" s="185"/>
      <c r="I15" s="445"/>
      <c r="K15" s="8" t="s">
        <v>36</v>
      </c>
      <c r="L15" s="13"/>
    </row>
    <row r="16" spans="1:12" s="13" customFormat="1" ht="30" customHeight="1">
      <c r="A16" s="80" t="s">
        <v>420</v>
      </c>
      <c r="B16" s="223">
        <v>11</v>
      </c>
      <c r="C16" s="223">
        <v>11</v>
      </c>
      <c r="D16" s="5"/>
      <c r="E16" s="144"/>
      <c r="F16" s="144"/>
      <c r="G16" s="144"/>
      <c r="H16" s="185"/>
      <c r="I16" s="445"/>
      <c r="K16" s="8" t="s">
        <v>82</v>
      </c>
      <c r="L16" s="24"/>
    </row>
    <row r="17" spans="1:12" s="13" customFormat="1" ht="30" customHeight="1">
      <c r="A17" s="79" t="s">
        <v>4</v>
      </c>
      <c r="B17" s="223">
        <v>6</v>
      </c>
      <c r="C17" s="223">
        <v>6</v>
      </c>
      <c r="D17" s="5"/>
      <c r="E17" s="144"/>
      <c r="F17" s="144"/>
      <c r="G17" s="144"/>
      <c r="H17" s="185"/>
      <c r="I17" s="445"/>
      <c r="K17" s="8" t="s">
        <v>54</v>
      </c>
      <c r="L17" s="13">
        <f>B41</f>
        <v>5</v>
      </c>
    </row>
    <row r="18" spans="1:11" s="13" customFormat="1" ht="30" customHeight="1">
      <c r="A18" s="79" t="s">
        <v>70</v>
      </c>
      <c r="B18" s="223">
        <v>172</v>
      </c>
      <c r="C18" s="223">
        <v>172</v>
      </c>
      <c r="D18" s="5"/>
      <c r="E18" s="144"/>
      <c r="F18" s="144"/>
      <c r="G18" s="144"/>
      <c r="H18" s="185"/>
      <c r="I18" s="445"/>
      <c r="K18" s="13" t="s">
        <v>257</v>
      </c>
    </row>
    <row r="19" spans="1:12" s="88" customFormat="1" ht="30" customHeight="1">
      <c r="A19" s="272" t="s">
        <v>56</v>
      </c>
      <c r="B19" s="273">
        <f>B18*460/1000</f>
        <v>79.12</v>
      </c>
      <c r="C19" s="273">
        <f>C18*460/1000</f>
        <v>79.12</v>
      </c>
      <c r="D19" s="219"/>
      <c r="E19" s="63"/>
      <c r="F19" s="63"/>
      <c r="G19" s="63"/>
      <c r="H19" s="62"/>
      <c r="I19" s="445"/>
      <c r="K19" s="7" t="s">
        <v>37</v>
      </c>
      <c r="L19" s="145"/>
    </row>
    <row r="20" spans="1:12" s="88" customFormat="1" ht="30" customHeight="1">
      <c r="A20" s="272" t="s">
        <v>57</v>
      </c>
      <c r="B20" s="273">
        <f>B18*120/1000</f>
        <v>20.64</v>
      </c>
      <c r="C20" s="273">
        <f>C18*120/1000</f>
        <v>20.64</v>
      </c>
      <c r="D20" s="219"/>
      <c r="E20" s="63"/>
      <c r="F20" s="63"/>
      <c r="G20" s="63"/>
      <c r="H20" s="62"/>
      <c r="I20" s="445"/>
      <c r="K20" s="8" t="s">
        <v>38</v>
      </c>
      <c r="L20" s="89">
        <f>C65+C83</f>
        <v>96</v>
      </c>
    </row>
    <row r="21" spans="1:11" s="88" customFormat="1" ht="30" customHeight="1">
      <c r="A21" s="264" t="s">
        <v>185</v>
      </c>
      <c r="B21" s="274">
        <f>B18-B19</f>
        <v>92.88</v>
      </c>
      <c r="C21" s="274">
        <f>C18-C19</f>
        <v>92.88</v>
      </c>
      <c r="D21" s="266"/>
      <c r="E21" s="267"/>
      <c r="F21" s="267"/>
      <c r="G21" s="267"/>
      <c r="H21" s="268"/>
      <c r="I21" s="446"/>
      <c r="K21" s="8" t="s">
        <v>39</v>
      </c>
    </row>
    <row r="22" spans="1:12" s="13" customFormat="1" ht="30" customHeight="1">
      <c r="A22" s="264" t="s">
        <v>186</v>
      </c>
      <c r="B22" s="274">
        <f>B18-B20</f>
        <v>151.36</v>
      </c>
      <c r="C22" s="274">
        <f>C18-C20</f>
        <v>151.36</v>
      </c>
      <c r="D22" s="266"/>
      <c r="E22" s="267"/>
      <c r="F22" s="267"/>
      <c r="G22" s="267"/>
      <c r="H22" s="268"/>
      <c r="I22" s="446"/>
      <c r="K22" s="8" t="s">
        <v>40</v>
      </c>
      <c r="L22" s="88"/>
    </row>
    <row r="23" spans="1:12" s="13" customFormat="1" ht="30" customHeight="1">
      <c r="A23" s="272" t="s">
        <v>71</v>
      </c>
      <c r="B23" s="273">
        <v>1</v>
      </c>
      <c r="C23" s="273">
        <v>1</v>
      </c>
      <c r="D23" s="266"/>
      <c r="E23" s="267"/>
      <c r="F23" s="267"/>
      <c r="G23" s="267"/>
      <c r="H23" s="268"/>
      <c r="I23" s="446"/>
      <c r="K23" s="7" t="s">
        <v>41</v>
      </c>
      <c r="L23" s="24"/>
    </row>
    <row r="24" spans="1:12" s="13" customFormat="1" ht="30" customHeight="1">
      <c r="A24" s="80" t="s">
        <v>19</v>
      </c>
      <c r="B24" s="275">
        <v>5</v>
      </c>
      <c r="C24" s="275">
        <v>5</v>
      </c>
      <c r="D24" s="5"/>
      <c r="E24" s="144"/>
      <c r="F24" s="144"/>
      <c r="G24" s="144"/>
      <c r="H24" s="185"/>
      <c r="I24" s="445"/>
      <c r="K24" s="8" t="s">
        <v>42</v>
      </c>
      <c r="L24" s="13">
        <f>+B18+B43+C94</f>
        <v>238</v>
      </c>
    </row>
    <row r="25" spans="1:11" s="13" customFormat="1" ht="30" customHeight="1">
      <c r="A25" s="508" t="s">
        <v>95</v>
      </c>
      <c r="B25" s="508"/>
      <c r="C25" s="508"/>
      <c r="D25" s="508"/>
      <c r="E25" s="508"/>
      <c r="F25" s="508"/>
      <c r="G25" s="508"/>
      <c r="H25" s="508"/>
      <c r="I25" s="508"/>
      <c r="K25" s="8" t="s">
        <v>106</v>
      </c>
    </row>
    <row r="26" spans="1:11" s="13" customFormat="1" ht="30" customHeight="1">
      <c r="A26" s="533" t="s">
        <v>261</v>
      </c>
      <c r="B26" s="533"/>
      <c r="C26" s="533"/>
      <c r="D26" s="27">
        <v>200</v>
      </c>
      <c r="E26" s="63">
        <v>8.3</v>
      </c>
      <c r="F26" s="63">
        <v>9.6</v>
      </c>
      <c r="G26" s="63">
        <v>30.8</v>
      </c>
      <c r="H26" s="62">
        <f>G26*4+F26*9+E26*4</f>
        <v>242.8</v>
      </c>
      <c r="I26" s="302" t="s">
        <v>265</v>
      </c>
      <c r="K26" s="8" t="s">
        <v>43</v>
      </c>
    </row>
    <row r="27" spans="1:12" s="88" customFormat="1" ht="30" customHeight="1">
      <c r="A27" s="80" t="s">
        <v>184</v>
      </c>
      <c r="B27" s="223">
        <v>40</v>
      </c>
      <c r="C27" s="223">
        <v>40</v>
      </c>
      <c r="D27" s="5"/>
      <c r="E27" s="144"/>
      <c r="F27" s="144"/>
      <c r="G27" s="144"/>
      <c r="H27" s="185"/>
      <c r="I27" s="443"/>
      <c r="K27" s="7" t="s">
        <v>44</v>
      </c>
      <c r="L27" s="24">
        <f>B80</f>
        <v>5</v>
      </c>
    </row>
    <row r="28" spans="1:12" s="142" customFormat="1" ht="30" customHeight="1">
      <c r="A28" s="79" t="s">
        <v>70</v>
      </c>
      <c r="B28" s="223">
        <v>130</v>
      </c>
      <c r="C28" s="223">
        <v>130</v>
      </c>
      <c r="D28" s="5"/>
      <c r="E28" s="144"/>
      <c r="F28" s="144"/>
      <c r="G28" s="144"/>
      <c r="H28" s="185"/>
      <c r="I28" s="443"/>
      <c r="K28" s="7" t="s">
        <v>45</v>
      </c>
      <c r="L28" s="24">
        <f>C13</f>
        <v>20</v>
      </c>
    </row>
    <row r="29" spans="1:12" s="88" customFormat="1" ht="30" customHeight="1">
      <c r="A29" s="272" t="s">
        <v>56</v>
      </c>
      <c r="B29" s="273">
        <f>B28*460/1000</f>
        <v>59.8</v>
      </c>
      <c r="C29" s="273">
        <f>C28*460/1000</f>
        <v>59.8</v>
      </c>
      <c r="D29" s="219"/>
      <c r="E29" s="63"/>
      <c r="F29" s="63"/>
      <c r="G29" s="63"/>
      <c r="H29" s="62"/>
      <c r="I29" s="443"/>
      <c r="K29" s="60" t="s">
        <v>46</v>
      </c>
      <c r="L29" s="200">
        <f>++B79++B99++C12+B24</f>
        <v>21</v>
      </c>
    </row>
    <row r="30" spans="1:12" s="88" customFormat="1" ht="30" customHeight="1">
      <c r="A30" s="272" t="s">
        <v>57</v>
      </c>
      <c r="B30" s="273">
        <f>B28*120/1000</f>
        <v>15.6</v>
      </c>
      <c r="C30" s="273">
        <f>C28*120/1000</f>
        <v>15.6</v>
      </c>
      <c r="D30" s="219"/>
      <c r="E30" s="63"/>
      <c r="F30" s="63"/>
      <c r="G30" s="63"/>
      <c r="H30" s="62"/>
      <c r="I30" s="443"/>
      <c r="K30" s="8" t="s">
        <v>47</v>
      </c>
      <c r="L30" s="89">
        <f>B56+B85</f>
        <v>9.5</v>
      </c>
    </row>
    <row r="31" spans="1:12" s="13" customFormat="1" ht="30" customHeight="1">
      <c r="A31" s="264" t="s">
        <v>185</v>
      </c>
      <c r="B31" s="274">
        <f>B28-B29</f>
        <v>70.2</v>
      </c>
      <c r="C31" s="274">
        <f>C28-C29</f>
        <v>70.2</v>
      </c>
      <c r="D31" s="266"/>
      <c r="E31" s="267"/>
      <c r="F31" s="267"/>
      <c r="G31" s="267"/>
      <c r="H31" s="268"/>
      <c r="I31" s="447"/>
      <c r="K31" s="8" t="s">
        <v>48</v>
      </c>
      <c r="L31" s="89">
        <f>+B69</f>
        <v>1.2</v>
      </c>
    </row>
    <row r="32" spans="1:9" s="13" customFormat="1" ht="30" customHeight="1">
      <c r="A32" s="264" t="s">
        <v>186</v>
      </c>
      <c r="B32" s="274">
        <f>B28-B30</f>
        <v>114.4</v>
      </c>
      <c r="C32" s="274">
        <f>C28-C30</f>
        <v>114.4</v>
      </c>
      <c r="D32" s="266"/>
      <c r="E32" s="267"/>
      <c r="F32" s="267"/>
      <c r="G32" s="267"/>
      <c r="H32" s="268"/>
      <c r="I32" s="447"/>
    </row>
    <row r="33" spans="1:9" s="142" customFormat="1" ht="30" customHeight="1">
      <c r="A33" s="272" t="s">
        <v>266</v>
      </c>
      <c r="B33" s="274"/>
      <c r="C33" s="273">
        <v>155</v>
      </c>
      <c r="D33" s="266"/>
      <c r="E33" s="267"/>
      <c r="F33" s="267"/>
      <c r="G33" s="267"/>
      <c r="H33" s="268"/>
      <c r="I33" s="447"/>
    </row>
    <row r="34" spans="1:9" s="13" customFormat="1" ht="30" customHeight="1">
      <c r="A34" s="272" t="s">
        <v>267</v>
      </c>
      <c r="B34" s="274"/>
      <c r="C34" s="273">
        <v>25</v>
      </c>
      <c r="D34" s="266"/>
      <c r="E34" s="267"/>
      <c r="F34" s="267"/>
      <c r="G34" s="267"/>
      <c r="H34" s="268"/>
      <c r="I34" s="447"/>
    </row>
    <row r="35" spans="1:9" s="13" customFormat="1" ht="30" customHeight="1">
      <c r="A35" s="79" t="s">
        <v>4</v>
      </c>
      <c r="B35" s="223">
        <v>5</v>
      </c>
      <c r="C35" s="223">
        <v>5</v>
      </c>
      <c r="D35" s="5"/>
      <c r="E35" s="144"/>
      <c r="F35" s="144"/>
      <c r="G35" s="144"/>
      <c r="H35" s="185"/>
      <c r="I35" s="443"/>
    </row>
    <row r="36" spans="1:9" s="142" customFormat="1" ht="30" customHeight="1">
      <c r="A36" s="79" t="s">
        <v>84</v>
      </c>
      <c r="B36" s="223">
        <v>25</v>
      </c>
      <c r="C36" s="223">
        <v>25</v>
      </c>
      <c r="D36" s="5"/>
      <c r="E36" s="144"/>
      <c r="F36" s="144"/>
      <c r="G36" s="144"/>
      <c r="H36" s="185"/>
      <c r="I36" s="443"/>
    </row>
    <row r="37" spans="1:9" s="13" customFormat="1" ht="30" customHeight="1">
      <c r="A37" s="79" t="s">
        <v>408</v>
      </c>
      <c r="B37" s="223">
        <f>C37*1.76</f>
        <v>35.2</v>
      </c>
      <c r="C37" s="223">
        <v>20</v>
      </c>
      <c r="D37" s="5"/>
      <c r="E37" s="144"/>
      <c r="F37" s="144"/>
      <c r="G37" s="144"/>
      <c r="H37" s="185"/>
      <c r="I37" s="443"/>
    </row>
    <row r="38" spans="1:9" s="13" customFormat="1" ht="30" customHeight="1">
      <c r="A38" s="79" t="s">
        <v>268</v>
      </c>
      <c r="B38" s="223"/>
      <c r="C38" s="223">
        <v>44</v>
      </c>
      <c r="D38" s="5"/>
      <c r="E38" s="144"/>
      <c r="F38" s="144"/>
      <c r="G38" s="144"/>
      <c r="H38" s="185"/>
      <c r="I38" s="443"/>
    </row>
    <row r="39" spans="1:12" s="88" customFormat="1" ht="30" customHeight="1">
      <c r="A39" s="80" t="s">
        <v>19</v>
      </c>
      <c r="B39" s="275">
        <v>5</v>
      </c>
      <c r="C39" s="275">
        <v>5</v>
      </c>
      <c r="D39" s="5"/>
      <c r="E39" s="144"/>
      <c r="F39" s="144"/>
      <c r="G39" s="144"/>
      <c r="H39" s="185"/>
      <c r="I39" s="443"/>
      <c r="K39" s="13"/>
      <c r="L39" s="13"/>
    </row>
    <row r="40" spans="1:12" s="13" customFormat="1" ht="30" customHeight="1">
      <c r="A40" s="504" t="s">
        <v>410</v>
      </c>
      <c r="B40" s="504"/>
      <c r="C40" s="504"/>
      <c r="D40" s="29">
        <v>200</v>
      </c>
      <c r="E40" s="63">
        <v>4.7</v>
      </c>
      <c r="F40" s="63">
        <v>3.3</v>
      </c>
      <c r="G40" s="63">
        <v>21.8</v>
      </c>
      <c r="H40" s="62">
        <f>G40*4+F40*9+E40*4</f>
        <v>135.70000000000002</v>
      </c>
      <c r="I40" s="302" t="s">
        <v>270</v>
      </c>
      <c r="K40" s="88"/>
      <c r="L40" s="88"/>
    </row>
    <row r="41" spans="1:9" s="13" customFormat="1" ht="30" customHeight="1">
      <c r="A41" s="75" t="s">
        <v>74</v>
      </c>
      <c r="B41" s="50">
        <v>5</v>
      </c>
      <c r="C41" s="50">
        <v>5</v>
      </c>
      <c r="D41" s="50"/>
      <c r="E41" s="144"/>
      <c r="F41" s="144"/>
      <c r="G41" s="144"/>
      <c r="H41" s="185"/>
      <c r="I41" s="443"/>
    </row>
    <row r="42" spans="1:9" s="13" customFormat="1" ht="30" customHeight="1">
      <c r="A42" s="75" t="s">
        <v>4</v>
      </c>
      <c r="B42" s="40">
        <v>3</v>
      </c>
      <c r="C42" s="40">
        <v>3</v>
      </c>
      <c r="D42" s="41"/>
      <c r="E42" s="146"/>
      <c r="F42" s="146"/>
      <c r="G42" s="146"/>
      <c r="H42" s="159"/>
      <c r="I42" s="448"/>
    </row>
    <row r="43" spans="1:9" s="13" customFormat="1" ht="30" customHeight="1">
      <c r="A43" s="75" t="s">
        <v>107</v>
      </c>
      <c r="B43" s="44">
        <v>38</v>
      </c>
      <c r="C43" s="44">
        <v>38</v>
      </c>
      <c r="D43" s="41"/>
      <c r="E43" s="146"/>
      <c r="F43" s="146"/>
      <c r="G43" s="146"/>
      <c r="H43" s="146"/>
      <c r="I43" s="448"/>
    </row>
    <row r="44" spans="1:9" s="13" customFormat="1" ht="30" customHeight="1">
      <c r="A44" s="516" t="s">
        <v>271</v>
      </c>
      <c r="B44" s="516"/>
      <c r="C44" s="516"/>
      <c r="D44" s="36">
        <v>150</v>
      </c>
      <c r="E44" s="37">
        <v>0.2</v>
      </c>
      <c r="F44" s="37">
        <v>0</v>
      </c>
      <c r="G44" s="37">
        <v>8.6</v>
      </c>
      <c r="H44" s="228">
        <f>E44*4+F44*9+G44*4</f>
        <v>35.199999999999996</v>
      </c>
      <c r="I44" s="304" t="s">
        <v>272</v>
      </c>
    </row>
    <row r="45" spans="1:9" s="13" customFormat="1" ht="30" customHeight="1">
      <c r="A45" s="507" t="s">
        <v>77</v>
      </c>
      <c r="B45" s="507"/>
      <c r="C45" s="507"/>
      <c r="D45" s="184">
        <f>D46+270+D82+D89+D100</f>
        <v>850</v>
      </c>
      <c r="E45" s="59">
        <f>E46+E63+E82+E89+E100+E108+E110</f>
        <v>26.25</v>
      </c>
      <c r="F45" s="59">
        <f>F46+F63+F82+F89+F100+F108+F110</f>
        <v>24.959999999999997</v>
      </c>
      <c r="G45" s="59">
        <f>G46+G63+G82+G89+G100+G108+G110</f>
        <v>135.79</v>
      </c>
      <c r="H45" s="59">
        <f>H46+H63+H82+H89+H100+H108+H110</f>
        <v>869.6800000000001</v>
      </c>
      <c r="I45" s="449"/>
    </row>
    <row r="46" spans="1:12" s="88" customFormat="1" ht="30" customHeight="1">
      <c r="A46" s="509" t="s">
        <v>493</v>
      </c>
      <c r="B46" s="509"/>
      <c r="C46" s="509"/>
      <c r="D46" s="29">
        <v>100</v>
      </c>
      <c r="E46" s="31">
        <v>1.7</v>
      </c>
      <c r="F46" s="31">
        <v>5</v>
      </c>
      <c r="G46" s="31">
        <v>5.7</v>
      </c>
      <c r="H46" s="35">
        <f>G46*4+F46*9+E46*4</f>
        <v>74.6</v>
      </c>
      <c r="I46" s="304" t="s">
        <v>494</v>
      </c>
      <c r="K46" s="13"/>
      <c r="L46" s="13"/>
    </row>
    <row r="47" spans="1:12" s="13" customFormat="1" ht="30" customHeight="1">
      <c r="A47" s="79" t="s">
        <v>12</v>
      </c>
      <c r="B47" s="51">
        <f>C47*1.33</f>
        <v>63.84</v>
      </c>
      <c r="C47" s="51">
        <v>48</v>
      </c>
      <c r="D47" s="51"/>
      <c r="E47" s="50"/>
      <c r="F47" s="50"/>
      <c r="G47" s="50"/>
      <c r="H47" s="50"/>
      <c r="I47" s="499"/>
      <c r="K47" s="88"/>
      <c r="L47" s="88"/>
    </row>
    <row r="48" spans="1:9" s="142" customFormat="1" ht="30" customHeight="1">
      <c r="A48" s="79" t="s">
        <v>13</v>
      </c>
      <c r="B48" s="51">
        <f>C48*1.43</f>
        <v>68.64</v>
      </c>
      <c r="C48" s="51">
        <v>48</v>
      </c>
      <c r="D48" s="51"/>
      <c r="E48" s="31"/>
      <c r="F48" s="31"/>
      <c r="G48" s="31"/>
      <c r="H48" s="35"/>
      <c r="I48" s="499"/>
    </row>
    <row r="49" spans="1:9" s="13" customFormat="1" ht="30" customHeight="1">
      <c r="A49" s="79" t="s">
        <v>14</v>
      </c>
      <c r="B49" s="51">
        <f>C49*1.54</f>
        <v>73.92</v>
      </c>
      <c r="C49" s="51">
        <v>48</v>
      </c>
      <c r="D49" s="51"/>
      <c r="E49" s="51"/>
      <c r="F49" s="50"/>
      <c r="G49" s="50"/>
      <c r="H49" s="50"/>
      <c r="I49" s="387"/>
    </row>
    <row r="50" spans="1:9" s="13" customFormat="1" ht="30" customHeight="1">
      <c r="A50" s="75" t="s">
        <v>15</v>
      </c>
      <c r="B50" s="51">
        <f>C50*1.67</f>
        <v>80.16</v>
      </c>
      <c r="C50" s="51">
        <v>48</v>
      </c>
      <c r="D50" s="51"/>
      <c r="E50" s="50"/>
      <c r="F50" s="50"/>
      <c r="G50" s="50"/>
      <c r="H50" s="50"/>
      <c r="I50" s="387"/>
    </row>
    <row r="51" spans="1:9" s="13" customFormat="1" ht="30" customHeight="1">
      <c r="A51" s="183" t="s">
        <v>350</v>
      </c>
      <c r="B51" s="51"/>
      <c r="C51" s="35">
        <v>45</v>
      </c>
      <c r="D51" s="51"/>
      <c r="E51" s="50"/>
      <c r="F51" s="50"/>
      <c r="G51" s="50"/>
      <c r="H51" s="51"/>
      <c r="I51" s="387"/>
    </row>
    <row r="52" spans="1:9" s="13" customFormat="1" ht="30" customHeight="1">
      <c r="A52" s="79" t="s">
        <v>495</v>
      </c>
      <c r="B52" s="51">
        <f>C52*1.67</f>
        <v>36.739999999999995</v>
      </c>
      <c r="C52" s="51">
        <v>22</v>
      </c>
      <c r="D52" s="51"/>
      <c r="E52" s="51"/>
      <c r="F52" s="51"/>
      <c r="G52" s="51"/>
      <c r="H52" s="51"/>
      <c r="I52" s="387"/>
    </row>
    <row r="53" spans="1:9" s="13" customFormat="1" ht="30" customHeight="1">
      <c r="A53" s="79" t="s">
        <v>496</v>
      </c>
      <c r="B53" s="51">
        <f>C53*1.25</f>
        <v>41.25</v>
      </c>
      <c r="C53" s="51">
        <v>33</v>
      </c>
      <c r="D53" s="51"/>
      <c r="E53" s="51"/>
      <c r="F53" s="51"/>
      <c r="G53" s="50"/>
      <c r="H53" s="50"/>
      <c r="I53" s="387"/>
    </row>
    <row r="54" spans="1:9" s="13" customFormat="1" ht="30" customHeight="1">
      <c r="A54" s="75" t="s">
        <v>16</v>
      </c>
      <c r="B54" s="51">
        <f>C54*1.33</f>
        <v>43.89</v>
      </c>
      <c r="C54" s="51">
        <v>33</v>
      </c>
      <c r="D54" s="51"/>
      <c r="E54" s="50"/>
      <c r="F54" s="50"/>
      <c r="G54" s="50"/>
      <c r="H54" s="50"/>
      <c r="I54" s="387"/>
    </row>
    <row r="55" spans="1:9" s="13" customFormat="1" ht="30" customHeight="1">
      <c r="A55" s="183" t="s">
        <v>497</v>
      </c>
      <c r="B55" s="51"/>
      <c r="C55" s="35">
        <v>30</v>
      </c>
      <c r="D55" s="51"/>
      <c r="E55" s="50"/>
      <c r="F55" s="50"/>
      <c r="G55" s="50"/>
      <c r="H55" s="50"/>
      <c r="I55" s="387"/>
    </row>
    <row r="56" spans="1:9" s="13" customFormat="1" ht="30" customHeight="1">
      <c r="A56" s="75" t="s">
        <v>11</v>
      </c>
      <c r="B56" s="51">
        <v>5</v>
      </c>
      <c r="C56" s="51">
        <v>5</v>
      </c>
      <c r="D56" s="51"/>
      <c r="E56" s="50"/>
      <c r="F56" s="50"/>
      <c r="G56" s="50"/>
      <c r="H56" s="50"/>
      <c r="I56" s="387"/>
    </row>
    <row r="57" spans="1:9" s="13" customFormat="1" ht="30" customHeight="1">
      <c r="A57" s="508" t="s">
        <v>95</v>
      </c>
      <c r="B57" s="508"/>
      <c r="C57" s="508"/>
      <c r="D57" s="508"/>
      <c r="E57" s="508"/>
      <c r="F57" s="508"/>
      <c r="G57" s="508"/>
      <c r="H57" s="508"/>
      <c r="I57" s="508"/>
    </row>
    <row r="58" spans="1:9" s="13" customFormat="1" ht="30" customHeight="1">
      <c r="A58" s="516" t="s">
        <v>359</v>
      </c>
      <c r="B58" s="516"/>
      <c r="C58" s="516"/>
      <c r="D58" s="203">
        <v>100</v>
      </c>
      <c r="E58" s="121">
        <v>0.6666666666666666</v>
      </c>
      <c r="F58" s="121">
        <v>0.3333333333333333</v>
      </c>
      <c r="G58" s="121">
        <v>2.3333333333333335</v>
      </c>
      <c r="H58" s="62">
        <f>G58*4+F58*9+E58*4</f>
        <v>15</v>
      </c>
      <c r="I58" s="417" t="s">
        <v>360</v>
      </c>
    </row>
    <row r="59" spans="1:9" s="13" customFormat="1" ht="30" customHeight="1">
      <c r="A59" s="79" t="s">
        <v>124</v>
      </c>
      <c r="B59" s="126">
        <f>C59*1.02</f>
        <v>51</v>
      </c>
      <c r="C59" s="83">
        <v>50</v>
      </c>
      <c r="D59" s="82"/>
      <c r="E59" s="121"/>
      <c r="F59" s="121"/>
      <c r="G59" s="121"/>
      <c r="H59" s="121"/>
      <c r="I59" s="417"/>
    </row>
    <row r="60" spans="1:9" s="13" customFormat="1" ht="30" customHeight="1">
      <c r="A60" s="80" t="s">
        <v>204</v>
      </c>
      <c r="B60" s="126">
        <f>C60*1.18</f>
        <v>59</v>
      </c>
      <c r="C60" s="83">
        <v>50</v>
      </c>
      <c r="D60" s="82"/>
      <c r="E60" s="121"/>
      <c r="F60" s="121"/>
      <c r="G60" s="121"/>
      <c r="H60" s="114"/>
      <c r="I60" s="417"/>
    </row>
    <row r="61" spans="1:9" s="13" customFormat="1" ht="30" customHeight="1">
      <c r="A61" s="80" t="s">
        <v>123</v>
      </c>
      <c r="B61" s="126">
        <f>C61*1.02</f>
        <v>51</v>
      </c>
      <c r="C61" s="83">
        <v>50</v>
      </c>
      <c r="D61" s="203"/>
      <c r="E61" s="121"/>
      <c r="F61" s="121"/>
      <c r="G61" s="121"/>
      <c r="H61" s="121"/>
      <c r="I61" s="417"/>
    </row>
    <row r="62" spans="1:9" s="13" customFormat="1" ht="30" customHeight="1">
      <c r="A62" s="80" t="s">
        <v>141</v>
      </c>
      <c r="B62" s="126">
        <f>C62*1.05</f>
        <v>52.5</v>
      </c>
      <c r="C62" s="83">
        <v>50</v>
      </c>
      <c r="D62" s="203"/>
      <c r="E62" s="121"/>
      <c r="F62" s="121"/>
      <c r="G62" s="121"/>
      <c r="H62" s="157"/>
      <c r="I62" s="417"/>
    </row>
    <row r="63" spans="1:9" s="13" customFormat="1" ht="30" customHeight="1">
      <c r="A63" s="533" t="s">
        <v>273</v>
      </c>
      <c r="B63" s="533"/>
      <c r="C63" s="541" t="s">
        <v>168</v>
      </c>
      <c r="D63" s="541"/>
      <c r="E63" s="63">
        <v>4.6</v>
      </c>
      <c r="F63" s="63">
        <v>5.2</v>
      </c>
      <c r="G63" s="63">
        <v>10.2</v>
      </c>
      <c r="H63" s="62">
        <f>G63*4+F63*9+E63*4</f>
        <v>106</v>
      </c>
      <c r="I63" s="304" t="s">
        <v>274</v>
      </c>
    </row>
    <row r="64" spans="1:9" s="13" customFormat="1" ht="30" customHeight="1">
      <c r="A64" s="253" t="s">
        <v>363</v>
      </c>
      <c r="B64" s="250"/>
      <c r="C64" s="158">
        <v>15</v>
      </c>
      <c r="D64" s="158"/>
      <c r="E64" s="63"/>
      <c r="F64" s="63"/>
      <c r="G64" s="63"/>
      <c r="H64" s="62"/>
      <c r="I64" s="444" t="s">
        <v>364</v>
      </c>
    </row>
    <row r="65" spans="1:9" s="13" customFormat="1" ht="30" customHeight="1">
      <c r="A65" s="73" t="s">
        <v>111</v>
      </c>
      <c r="B65" s="38">
        <f>C65*1.36</f>
        <v>23.12</v>
      </c>
      <c r="C65" s="5">
        <v>17</v>
      </c>
      <c r="D65" s="42"/>
      <c r="E65" s="123"/>
      <c r="F65" s="123"/>
      <c r="G65" s="123"/>
      <c r="H65" s="162"/>
      <c r="I65" s="451"/>
    </row>
    <row r="66" spans="1:9" s="13" customFormat="1" ht="30" customHeight="1">
      <c r="A66" s="73" t="s">
        <v>112</v>
      </c>
      <c r="B66" s="38">
        <f>C66*1.18</f>
        <v>20.06</v>
      </c>
      <c r="C66" s="5">
        <f>C65</f>
        <v>17</v>
      </c>
      <c r="D66" s="42"/>
      <c r="E66" s="43"/>
      <c r="F66" s="43"/>
      <c r="G66" s="43"/>
      <c r="H66" s="160"/>
      <c r="I66" s="449"/>
    </row>
    <row r="67" spans="1:9" s="13" customFormat="1" ht="30" customHeight="1">
      <c r="A67" s="72" t="s">
        <v>18</v>
      </c>
      <c r="B67" s="51">
        <f>C67*1.19</f>
        <v>1.785</v>
      </c>
      <c r="C67" s="5">
        <v>1.5</v>
      </c>
      <c r="D67" s="42"/>
      <c r="E67" s="43"/>
      <c r="F67" s="43"/>
      <c r="G67" s="43"/>
      <c r="H67" s="160"/>
      <c r="I67" s="449"/>
    </row>
    <row r="68" spans="1:9" s="13" customFormat="1" ht="30" customHeight="1">
      <c r="A68" s="124" t="s">
        <v>84</v>
      </c>
      <c r="B68" s="144">
        <v>1.5</v>
      </c>
      <c r="C68" s="5">
        <v>1.5</v>
      </c>
      <c r="D68" s="42"/>
      <c r="E68" s="43"/>
      <c r="F68" s="43"/>
      <c r="G68" s="43"/>
      <c r="H68" s="160"/>
      <c r="I68" s="449"/>
    </row>
    <row r="69" spans="1:9" s="13" customFormat="1" ht="30" customHeight="1">
      <c r="A69" s="124" t="s">
        <v>109</v>
      </c>
      <c r="B69" s="144">
        <v>1.2</v>
      </c>
      <c r="C69" s="5">
        <v>1.2</v>
      </c>
      <c r="D69" s="42"/>
      <c r="E69" s="43"/>
      <c r="F69" s="43"/>
      <c r="G69" s="43"/>
      <c r="H69" s="160"/>
      <c r="I69" s="449"/>
    </row>
    <row r="70" spans="1:9" s="13" customFormat="1" ht="30" customHeight="1">
      <c r="A70" s="72" t="s">
        <v>75</v>
      </c>
      <c r="B70" s="49">
        <f>C70*1.25</f>
        <v>66.25</v>
      </c>
      <c r="C70" s="5">
        <v>53</v>
      </c>
      <c r="D70" s="50"/>
      <c r="E70" s="144"/>
      <c r="F70" s="144"/>
      <c r="G70" s="144"/>
      <c r="H70" s="161"/>
      <c r="I70" s="417"/>
    </row>
    <row r="71" spans="1:9" s="13" customFormat="1" ht="30" customHeight="1">
      <c r="A71" s="72" t="s">
        <v>12</v>
      </c>
      <c r="B71" s="49">
        <f>C71*1.33</f>
        <v>39.900000000000006</v>
      </c>
      <c r="C71" s="5">
        <v>30</v>
      </c>
      <c r="D71" s="50"/>
      <c r="E71" s="144"/>
      <c r="F71" s="144"/>
      <c r="G71" s="148"/>
      <c r="H71" s="161"/>
      <c r="I71" s="417"/>
    </row>
    <row r="72" spans="1:9" s="13" customFormat="1" ht="30" customHeight="1">
      <c r="A72" s="72" t="s">
        <v>13</v>
      </c>
      <c r="B72" s="49">
        <f>C72*1.43</f>
        <v>42.9</v>
      </c>
      <c r="C72" s="5">
        <v>30</v>
      </c>
      <c r="D72" s="50"/>
      <c r="E72" s="144"/>
      <c r="F72" s="144"/>
      <c r="G72" s="148"/>
      <c r="H72" s="161"/>
      <c r="I72" s="417"/>
    </row>
    <row r="73" spans="1:9" s="13" customFormat="1" ht="30" customHeight="1">
      <c r="A73" s="75" t="s">
        <v>14</v>
      </c>
      <c r="B73" s="49">
        <f>C73*1.54</f>
        <v>46.2</v>
      </c>
      <c r="C73" s="5">
        <v>30</v>
      </c>
      <c r="D73" s="50"/>
      <c r="E73" s="144"/>
      <c r="F73" s="144"/>
      <c r="G73" s="148"/>
      <c r="H73" s="161"/>
      <c r="I73" s="417"/>
    </row>
    <row r="74" spans="1:9" s="13" customFormat="1" ht="30" customHeight="1">
      <c r="A74" s="75" t="s">
        <v>15</v>
      </c>
      <c r="B74" s="49">
        <f>C74*1.67</f>
        <v>50.099999999999994</v>
      </c>
      <c r="C74" s="5">
        <v>30</v>
      </c>
      <c r="D74" s="50"/>
      <c r="E74" s="121"/>
      <c r="F74" s="121"/>
      <c r="G74" s="121"/>
      <c r="H74" s="62"/>
      <c r="I74" s="444"/>
    </row>
    <row r="75" spans="1:9" s="13" customFormat="1" ht="30" customHeight="1">
      <c r="A75" s="72" t="s">
        <v>81</v>
      </c>
      <c r="B75" s="5">
        <f>C75*1.25</f>
        <v>12.5</v>
      </c>
      <c r="C75" s="5">
        <v>10</v>
      </c>
      <c r="D75" s="50"/>
      <c r="E75" s="144"/>
      <c r="F75" s="144"/>
      <c r="G75" s="144"/>
      <c r="H75" s="185"/>
      <c r="I75" s="444"/>
    </row>
    <row r="76" spans="1:10" s="13" customFormat="1" ht="30" customHeight="1">
      <c r="A76" s="72" t="s">
        <v>16</v>
      </c>
      <c r="B76" s="54">
        <f>C76*1.33</f>
        <v>13.3</v>
      </c>
      <c r="C76" s="5">
        <v>10</v>
      </c>
      <c r="D76" s="50"/>
      <c r="E76" s="144"/>
      <c r="F76" s="144"/>
      <c r="G76" s="144"/>
      <c r="H76" s="185"/>
      <c r="I76" s="444"/>
      <c r="J76" s="1"/>
    </row>
    <row r="77" spans="1:10" s="13" customFormat="1" ht="30" customHeight="1">
      <c r="A77" s="72" t="s">
        <v>18</v>
      </c>
      <c r="B77" s="51">
        <f>C77*1.19</f>
        <v>11.899999999999999</v>
      </c>
      <c r="C77" s="5">
        <v>10</v>
      </c>
      <c r="D77" s="50"/>
      <c r="E77" s="144"/>
      <c r="F77" s="144"/>
      <c r="G77" s="144"/>
      <c r="H77" s="185"/>
      <c r="I77" s="444"/>
      <c r="J77" s="1"/>
    </row>
    <row r="78" spans="1:10" s="13" customFormat="1" ht="30" customHeight="1">
      <c r="A78" s="80" t="s">
        <v>72</v>
      </c>
      <c r="B78" s="50">
        <v>3</v>
      </c>
      <c r="C78" s="50">
        <v>3</v>
      </c>
      <c r="D78" s="50"/>
      <c r="E78" s="144"/>
      <c r="F78" s="144"/>
      <c r="G78" s="144"/>
      <c r="H78" s="185"/>
      <c r="I78" s="444"/>
      <c r="J78" s="1"/>
    </row>
    <row r="79" spans="1:10" s="13" customFormat="1" ht="30" customHeight="1">
      <c r="A79" s="124" t="s">
        <v>19</v>
      </c>
      <c r="B79" s="185">
        <v>5</v>
      </c>
      <c r="C79" s="185">
        <v>5</v>
      </c>
      <c r="D79" s="122"/>
      <c r="E79" s="144"/>
      <c r="F79" s="144"/>
      <c r="G79" s="144"/>
      <c r="H79" s="185"/>
      <c r="I79" s="444"/>
      <c r="J79" s="1"/>
    </row>
    <row r="80" spans="1:10" s="13" customFormat="1" ht="30" customHeight="1">
      <c r="A80" s="72" t="s">
        <v>76</v>
      </c>
      <c r="B80" s="5">
        <v>5</v>
      </c>
      <c r="C80" s="5">
        <v>5</v>
      </c>
      <c r="D80" s="5"/>
      <c r="E80" s="144"/>
      <c r="F80" s="144"/>
      <c r="G80" s="144"/>
      <c r="H80" s="185"/>
      <c r="I80" s="444"/>
      <c r="J80" s="1"/>
    </row>
    <row r="81" spans="1:12" s="132" customFormat="1" ht="30" customHeight="1">
      <c r="A81" s="75" t="s">
        <v>97</v>
      </c>
      <c r="B81" s="54">
        <v>0.2</v>
      </c>
      <c r="C81" s="54">
        <v>0.2</v>
      </c>
      <c r="D81" s="42"/>
      <c r="E81" s="43"/>
      <c r="F81" s="43"/>
      <c r="G81" s="43"/>
      <c r="H81" s="160"/>
      <c r="I81" s="449"/>
      <c r="K81" s="142"/>
      <c r="L81" s="142"/>
    </row>
    <row r="82" spans="1:12" s="1" customFormat="1" ht="30" customHeight="1">
      <c r="A82" s="504" t="s">
        <v>409</v>
      </c>
      <c r="B82" s="504"/>
      <c r="C82" s="504"/>
      <c r="D82" s="29">
        <v>100</v>
      </c>
      <c r="E82" s="63">
        <v>10.4</v>
      </c>
      <c r="F82" s="63">
        <v>9.2</v>
      </c>
      <c r="G82" s="63">
        <v>4</v>
      </c>
      <c r="H82" s="62">
        <f>E82*4+F82*9+G82*4</f>
        <v>140.4</v>
      </c>
      <c r="I82" s="304" t="s">
        <v>275</v>
      </c>
      <c r="K82" s="13"/>
      <c r="L82" s="13"/>
    </row>
    <row r="83" spans="1:9" s="1" customFormat="1" ht="30" customHeight="1">
      <c r="A83" s="73" t="s">
        <v>111</v>
      </c>
      <c r="B83" s="38">
        <f>C83*1.36</f>
        <v>107.44000000000001</v>
      </c>
      <c r="C83" s="51">
        <v>79</v>
      </c>
      <c r="D83" s="50"/>
      <c r="E83" s="144"/>
      <c r="F83" s="144"/>
      <c r="G83" s="144"/>
      <c r="H83" s="185"/>
      <c r="I83" s="444"/>
    </row>
    <row r="84" spans="1:9" s="1" customFormat="1" ht="30" customHeight="1">
      <c r="A84" s="73" t="s">
        <v>112</v>
      </c>
      <c r="B84" s="38">
        <f>C84*1.18</f>
        <v>93.22</v>
      </c>
      <c r="C84" s="5">
        <f>C83</f>
        <v>79</v>
      </c>
      <c r="D84" s="42"/>
      <c r="E84" s="43"/>
      <c r="F84" s="43"/>
      <c r="G84" s="43"/>
      <c r="H84" s="160"/>
      <c r="I84" s="449"/>
    </row>
    <row r="85" spans="1:9" s="1" customFormat="1" ht="30" customHeight="1">
      <c r="A85" s="75" t="s">
        <v>11</v>
      </c>
      <c r="B85" s="51">
        <v>4.5</v>
      </c>
      <c r="C85" s="51">
        <v>4.5</v>
      </c>
      <c r="D85" s="42"/>
      <c r="E85" s="43"/>
      <c r="F85" s="43"/>
      <c r="G85" s="43"/>
      <c r="H85" s="160"/>
      <c r="I85" s="449"/>
    </row>
    <row r="86" spans="1:12" s="90" customFormat="1" ht="30" customHeight="1">
      <c r="A86" s="75" t="s">
        <v>18</v>
      </c>
      <c r="B86" s="51">
        <f>C86*1.19</f>
        <v>11.899999999999999</v>
      </c>
      <c r="C86" s="50">
        <v>10</v>
      </c>
      <c r="D86" s="42"/>
      <c r="E86" s="43"/>
      <c r="F86" s="43"/>
      <c r="G86" s="43"/>
      <c r="H86" s="160"/>
      <c r="I86" s="449"/>
      <c r="K86" s="1"/>
      <c r="L86" s="1"/>
    </row>
    <row r="87" spans="1:9" s="90" customFormat="1" ht="30" customHeight="1">
      <c r="A87" s="80" t="s">
        <v>72</v>
      </c>
      <c r="B87" s="50">
        <v>4</v>
      </c>
      <c r="C87" s="50">
        <v>4</v>
      </c>
      <c r="D87" s="50"/>
      <c r="E87" s="144"/>
      <c r="F87" s="144"/>
      <c r="G87" s="144"/>
      <c r="H87" s="185"/>
      <c r="I87" s="444"/>
    </row>
    <row r="88" spans="1:12" s="1" customFormat="1" ht="30" customHeight="1">
      <c r="A88" s="74" t="s">
        <v>21</v>
      </c>
      <c r="B88" s="33">
        <v>2.5</v>
      </c>
      <c r="C88" s="33">
        <v>2.5</v>
      </c>
      <c r="D88" s="50"/>
      <c r="E88" s="144"/>
      <c r="F88" s="63"/>
      <c r="G88" s="63"/>
      <c r="H88" s="62"/>
      <c r="I88" s="444"/>
      <c r="K88" s="90"/>
      <c r="L88" s="90"/>
    </row>
    <row r="89" spans="1:12" s="90" customFormat="1" ht="30" customHeight="1">
      <c r="A89" s="534" t="s">
        <v>295</v>
      </c>
      <c r="B89" s="534"/>
      <c r="C89" s="534"/>
      <c r="D89" s="53">
        <v>180</v>
      </c>
      <c r="E89" s="121">
        <v>3.6</v>
      </c>
      <c r="F89" s="121">
        <v>4.5</v>
      </c>
      <c r="G89" s="121">
        <v>23.1</v>
      </c>
      <c r="H89" s="62">
        <f>G89*4+F89*9+E89*4</f>
        <v>147.3</v>
      </c>
      <c r="I89" s="304" t="s">
        <v>296</v>
      </c>
      <c r="K89" s="1"/>
      <c r="L89" s="1"/>
    </row>
    <row r="90" spans="1:9" s="90" customFormat="1" ht="30" customHeight="1">
      <c r="A90" s="75" t="s">
        <v>12</v>
      </c>
      <c r="B90" s="51">
        <f>C90*1.33</f>
        <v>203.49</v>
      </c>
      <c r="C90" s="51">
        <v>153</v>
      </c>
      <c r="D90" s="50"/>
      <c r="E90" s="144"/>
      <c r="F90" s="144"/>
      <c r="G90" s="144"/>
      <c r="H90" s="185"/>
      <c r="I90" s="443"/>
    </row>
    <row r="91" spans="1:9" s="132" customFormat="1" ht="30" customHeight="1">
      <c r="A91" s="75" t="s">
        <v>13</v>
      </c>
      <c r="B91" s="51">
        <f>C91*1.43</f>
        <v>218.79</v>
      </c>
      <c r="C91" s="51">
        <v>153</v>
      </c>
      <c r="D91" s="50"/>
      <c r="E91" s="144"/>
      <c r="F91" s="144"/>
      <c r="G91" s="144"/>
      <c r="H91" s="185"/>
      <c r="I91" s="443"/>
    </row>
    <row r="92" spans="1:9" s="90" customFormat="1" ht="30" customHeight="1">
      <c r="A92" s="75" t="s">
        <v>14</v>
      </c>
      <c r="B92" s="51">
        <f>C92*1.54</f>
        <v>235.62</v>
      </c>
      <c r="C92" s="51">
        <v>153</v>
      </c>
      <c r="D92" s="50"/>
      <c r="E92" s="144"/>
      <c r="F92" s="63"/>
      <c r="G92" s="63"/>
      <c r="H92" s="62"/>
      <c r="I92" s="443"/>
    </row>
    <row r="93" spans="1:9" s="90" customFormat="1" ht="30" customHeight="1">
      <c r="A93" s="75" t="s">
        <v>15</v>
      </c>
      <c r="B93" s="51">
        <f>C93*1.67</f>
        <v>255.51</v>
      </c>
      <c r="C93" s="51">
        <v>153</v>
      </c>
      <c r="D93" s="50"/>
      <c r="E93" s="144"/>
      <c r="F93" s="63"/>
      <c r="G93" s="63"/>
      <c r="H93" s="62"/>
      <c r="I93" s="443"/>
    </row>
    <row r="94" spans="1:12" s="1" customFormat="1" ht="30" customHeight="1">
      <c r="A94" s="75" t="s">
        <v>70</v>
      </c>
      <c r="B94" s="5">
        <v>28</v>
      </c>
      <c r="C94" s="5">
        <v>28</v>
      </c>
      <c r="D94" s="50"/>
      <c r="E94" s="144"/>
      <c r="F94" s="144"/>
      <c r="G94" s="144"/>
      <c r="H94" s="185"/>
      <c r="I94" s="443"/>
      <c r="K94" s="90"/>
      <c r="L94" s="90"/>
    </row>
    <row r="95" spans="1:9" s="1" customFormat="1" ht="30" customHeight="1">
      <c r="A95" s="81" t="s">
        <v>56</v>
      </c>
      <c r="B95" s="280">
        <f>B94*460/1000</f>
        <v>12.88</v>
      </c>
      <c r="C95" s="280">
        <f>C94*460/1000</f>
        <v>12.88</v>
      </c>
      <c r="D95" s="219"/>
      <c r="E95" s="63"/>
      <c r="F95" s="63"/>
      <c r="G95" s="63"/>
      <c r="H95" s="62"/>
      <c r="I95" s="443"/>
    </row>
    <row r="96" spans="1:12" s="90" customFormat="1" ht="30" customHeight="1">
      <c r="A96" s="81" t="s">
        <v>57</v>
      </c>
      <c r="B96" s="375">
        <f>B94*120/1000</f>
        <v>3.36</v>
      </c>
      <c r="C96" s="375">
        <f>C94*120/1000</f>
        <v>3.36</v>
      </c>
      <c r="D96" s="219"/>
      <c r="E96" s="63"/>
      <c r="F96" s="63"/>
      <c r="G96" s="63"/>
      <c r="H96" s="62"/>
      <c r="I96" s="443"/>
      <c r="J96" s="88"/>
      <c r="K96" s="1"/>
      <c r="L96" s="1"/>
    </row>
    <row r="97" spans="1:10" s="90" customFormat="1" ht="30" customHeight="1">
      <c r="A97" s="264" t="s">
        <v>185</v>
      </c>
      <c r="B97" s="265">
        <f>B94-B95</f>
        <v>15.12</v>
      </c>
      <c r="C97" s="265">
        <f>C94-C95</f>
        <v>15.12</v>
      </c>
      <c r="D97" s="266"/>
      <c r="E97" s="267"/>
      <c r="F97" s="267"/>
      <c r="G97" s="267"/>
      <c r="H97" s="268"/>
      <c r="I97" s="447"/>
      <c r="J97" s="88"/>
    </row>
    <row r="98" spans="1:12" s="1" customFormat="1" ht="30" customHeight="1">
      <c r="A98" s="264" t="s">
        <v>186</v>
      </c>
      <c r="B98" s="269">
        <f>B94-B96</f>
        <v>24.64</v>
      </c>
      <c r="C98" s="269">
        <f>C94-C96</f>
        <v>24.64</v>
      </c>
      <c r="D98" s="266"/>
      <c r="E98" s="267"/>
      <c r="F98" s="267"/>
      <c r="G98" s="267"/>
      <c r="H98" s="268"/>
      <c r="I98" s="447"/>
      <c r="J98" s="13"/>
      <c r="K98" s="90"/>
      <c r="L98" s="90"/>
    </row>
    <row r="99" spans="1:10" s="1" customFormat="1" ht="30" customHeight="1">
      <c r="A99" s="196" t="s">
        <v>19</v>
      </c>
      <c r="B99" s="181">
        <v>6</v>
      </c>
      <c r="C99" s="181">
        <v>6</v>
      </c>
      <c r="D99" s="201"/>
      <c r="E99" s="149"/>
      <c r="F99" s="149"/>
      <c r="G99" s="149"/>
      <c r="H99" s="149"/>
      <c r="I99" s="452"/>
      <c r="J99" s="13"/>
    </row>
    <row r="100" spans="1:10" s="1" customFormat="1" ht="30" customHeight="1">
      <c r="A100" s="84" t="s">
        <v>297</v>
      </c>
      <c r="B100" s="29">
        <v>200</v>
      </c>
      <c r="C100" s="29">
        <v>200</v>
      </c>
      <c r="D100" s="29">
        <v>200</v>
      </c>
      <c r="E100" s="31">
        <v>0.5</v>
      </c>
      <c r="F100" s="31">
        <v>0</v>
      </c>
      <c r="G100" s="31">
        <v>34</v>
      </c>
      <c r="H100" s="31">
        <f>E100*4+F100*9+G100*4</f>
        <v>138</v>
      </c>
      <c r="I100" s="304" t="s">
        <v>276</v>
      </c>
      <c r="J100" s="13"/>
    </row>
    <row r="101" spans="1:12" s="13" customFormat="1" ht="30" customHeight="1">
      <c r="A101" s="508" t="s">
        <v>95</v>
      </c>
      <c r="B101" s="508"/>
      <c r="C101" s="508"/>
      <c r="D101" s="508"/>
      <c r="E101" s="508"/>
      <c r="F101" s="508"/>
      <c r="G101" s="508"/>
      <c r="H101" s="508"/>
      <c r="I101" s="508"/>
      <c r="K101" s="1"/>
      <c r="L101" s="1"/>
    </row>
    <row r="102" spans="1:12" s="13" customFormat="1" ht="30" customHeight="1">
      <c r="A102" s="509" t="s">
        <v>424</v>
      </c>
      <c r="B102" s="509"/>
      <c r="C102" s="509"/>
      <c r="D102" s="29">
        <v>200</v>
      </c>
      <c r="E102" s="31">
        <v>0.2</v>
      </c>
      <c r="F102" s="31">
        <v>0</v>
      </c>
      <c r="G102" s="31">
        <v>28.2</v>
      </c>
      <c r="H102" s="284">
        <f>G102*4+F102*9+E102*4</f>
        <v>113.6</v>
      </c>
      <c r="I102" s="304" t="s">
        <v>277</v>
      </c>
      <c r="K102" s="1"/>
      <c r="L102" s="1"/>
    </row>
    <row r="103" spans="1:10" s="13" customFormat="1" ht="30" customHeight="1">
      <c r="A103" s="79" t="s">
        <v>194</v>
      </c>
      <c r="B103" s="33">
        <f>C103*1.14</f>
        <v>34.199999999999996</v>
      </c>
      <c r="C103" s="33">
        <v>30</v>
      </c>
      <c r="D103" s="29"/>
      <c r="E103" s="31"/>
      <c r="F103" s="31"/>
      <c r="G103" s="31"/>
      <c r="H103" s="35"/>
      <c r="I103" s="453"/>
      <c r="J103" s="88"/>
    </row>
    <row r="104" spans="1:9" s="13" customFormat="1" ht="30" customHeight="1">
      <c r="A104" s="74" t="s">
        <v>205</v>
      </c>
      <c r="B104" s="85">
        <f>C104*1.06</f>
        <v>10.600000000000001</v>
      </c>
      <c r="C104" s="33">
        <v>10</v>
      </c>
      <c r="D104" s="29"/>
      <c r="E104" s="31"/>
      <c r="F104" s="31"/>
      <c r="G104" s="31"/>
      <c r="H104" s="35"/>
      <c r="I104" s="453"/>
    </row>
    <row r="105" spans="1:9" s="13" customFormat="1" ht="30" customHeight="1">
      <c r="A105" s="111" t="s">
        <v>421</v>
      </c>
      <c r="B105" s="85">
        <f>C105*1.06</f>
        <v>10.600000000000001</v>
      </c>
      <c r="C105" s="33">
        <v>10</v>
      </c>
      <c r="D105" s="113"/>
      <c r="E105" s="411"/>
      <c r="F105" s="152"/>
      <c r="G105" s="152"/>
      <c r="H105" s="163"/>
      <c r="I105" s="454"/>
    </row>
    <row r="106" spans="1:9" s="13" customFormat="1" ht="30" customHeight="1">
      <c r="A106" s="111" t="s">
        <v>422</v>
      </c>
      <c r="B106" s="85">
        <f>C106*1.11</f>
        <v>11.100000000000001</v>
      </c>
      <c r="C106" s="33">
        <v>10</v>
      </c>
      <c r="D106" s="113"/>
      <c r="E106" s="411"/>
      <c r="F106" s="152"/>
      <c r="G106" s="152"/>
      <c r="H106" s="163"/>
      <c r="I106" s="454"/>
    </row>
    <row r="107" spans="1:9" s="13" customFormat="1" ht="30" customHeight="1">
      <c r="A107" s="75" t="s">
        <v>4</v>
      </c>
      <c r="B107" s="33">
        <v>20</v>
      </c>
      <c r="C107" s="33">
        <v>20</v>
      </c>
      <c r="D107" s="29"/>
      <c r="E107" s="31"/>
      <c r="F107" s="31"/>
      <c r="G107" s="31"/>
      <c r="H107" s="35"/>
      <c r="I107" s="303"/>
    </row>
    <row r="108" spans="1:12" s="88" customFormat="1" ht="30" customHeight="1">
      <c r="A108" s="521" t="s">
        <v>27</v>
      </c>
      <c r="B108" s="521"/>
      <c r="C108" s="521"/>
      <c r="D108" s="29">
        <v>70</v>
      </c>
      <c r="E108" s="31">
        <v>3.2899999999999996</v>
      </c>
      <c r="F108" s="31">
        <v>0.7</v>
      </c>
      <c r="G108" s="31">
        <v>30.589999999999996</v>
      </c>
      <c r="H108" s="35">
        <v>141.82000000000002</v>
      </c>
      <c r="I108" s="444"/>
      <c r="J108" s="13"/>
      <c r="K108" s="13"/>
      <c r="L108" s="13"/>
    </row>
    <row r="109" spans="1:9" s="13" customFormat="1" ht="30" customHeight="1">
      <c r="A109" s="504" t="s">
        <v>100</v>
      </c>
      <c r="B109" s="504"/>
      <c r="C109" s="504"/>
      <c r="D109" s="114">
        <v>70</v>
      </c>
      <c r="E109" s="144"/>
      <c r="F109" s="144"/>
      <c r="G109" s="144"/>
      <c r="H109" s="144"/>
      <c r="I109" s="443"/>
    </row>
    <row r="110" spans="1:12" s="13" customFormat="1" ht="30" customHeight="1">
      <c r="A110" s="495" t="s">
        <v>27</v>
      </c>
      <c r="B110" s="122">
        <v>60</v>
      </c>
      <c r="C110" s="122">
        <v>60</v>
      </c>
      <c r="D110" s="61">
        <v>60</v>
      </c>
      <c r="E110" s="63">
        <v>2.16</v>
      </c>
      <c r="F110" s="63">
        <v>0.36</v>
      </c>
      <c r="G110" s="63">
        <v>28.2</v>
      </c>
      <c r="H110" s="62">
        <v>121.56000000000002</v>
      </c>
      <c r="I110" s="444"/>
      <c r="K110" s="88"/>
      <c r="L110" s="88"/>
    </row>
    <row r="111" spans="1:9" s="13" customFormat="1" ht="30" customHeight="1">
      <c r="A111" s="505" t="s">
        <v>24</v>
      </c>
      <c r="B111" s="505"/>
      <c r="C111" s="505"/>
      <c r="D111" s="505"/>
      <c r="E111" s="154">
        <f>E45+E9</f>
        <v>44.75</v>
      </c>
      <c r="F111" s="154">
        <f>F45+F9</f>
        <v>46.36</v>
      </c>
      <c r="G111" s="154">
        <f>G45+G9</f>
        <v>217.48999999999998</v>
      </c>
      <c r="H111" s="154">
        <f>H45+H9</f>
        <v>1463.0800000000002</v>
      </c>
      <c r="I111" s="455"/>
    </row>
    <row r="112" spans="1:12" s="88" customFormat="1" ht="30" customHeight="1">
      <c r="A112" s="537" t="s">
        <v>89</v>
      </c>
      <c r="B112" s="537"/>
      <c r="C112" s="537"/>
      <c r="D112" s="537"/>
      <c r="E112" s="537"/>
      <c r="F112" s="537"/>
      <c r="G112" s="537"/>
      <c r="H112" s="537"/>
      <c r="I112" s="537"/>
      <c r="K112" s="13"/>
      <c r="L112" s="13"/>
    </row>
    <row r="113" spans="1:12" s="13" customFormat="1" ht="30" customHeight="1">
      <c r="A113" s="515" t="s">
        <v>0</v>
      </c>
      <c r="B113" s="517" t="s">
        <v>6</v>
      </c>
      <c r="C113" s="517" t="s">
        <v>7</v>
      </c>
      <c r="D113" s="515" t="s">
        <v>5</v>
      </c>
      <c r="E113" s="515"/>
      <c r="F113" s="515"/>
      <c r="G113" s="515"/>
      <c r="H113" s="515"/>
      <c r="I113" s="515"/>
      <c r="K113" s="88"/>
      <c r="L113" s="88"/>
    </row>
    <row r="114" spans="1:33" s="13" customFormat="1" ht="30" customHeight="1">
      <c r="A114" s="515"/>
      <c r="B114" s="517"/>
      <c r="C114" s="517"/>
      <c r="D114" s="517" t="s">
        <v>8</v>
      </c>
      <c r="E114" s="519" t="s">
        <v>1</v>
      </c>
      <c r="F114" s="519" t="s">
        <v>2</v>
      </c>
      <c r="G114" s="519" t="s">
        <v>9</v>
      </c>
      <c r="H114" s="532" t="s">
        <v>3</v>
      </c>
      <c r="I114" s="513" t="s">
        <v>245</v>
      </c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</row>
    <row r="115" spans="1:33" s="88" customFormat="1" ht="30" customHeight="1">
      <c r="A115" s="515"/>
      <c r="B115" s="517"/>
      <c r="C115" s="517"/>
      <c r="D115" s="517"/>
      <c r="E115" s="519"/>
      <c r="F115" s="519"/>
      <c r="G115" s="519"/>
      <c r="H115" s="532"/>
      <c r="I115" s="513"/>
      <c r="K115" s="13"/>
      <c r="L115" s="13"/>
      <c r="M115" s="536"/>
      <c r="N115" s="536"/>
      <c r="O115" s="536"/>
      <c r="P115" s="536"/>
      <c r="Q115" s="536"/>
      <c r="R115" s="91"/>
      <c r="S115" s="17"/>
      <c r="T115" s="17"/>
      <c r="U115" s="17"/>
      <c r="V115" s="14"/>
      <c r="W115" s="92"/>
      <c r="X115" s="93"/>
      <c r="Y115" s="94"/>
      <c r="Z115" s="94"/>
      <c r="AA115" s="94"/>
      <c r="AB115" s="94"/>
      <c r="AC115" s="94"/>
      <c r="AD115" s="94"/>
      <c r="AE115" s="95"/>
      <c r="AF115" s="95"/>
      <c r="AG115" s="97"/>
    </row>
    <row r="116" spans="1:33" s="88" customFormat="1" ht="30" customHeight="1">
      <c r="A116" s="507" t="s">
        <v>132</v>
      </c>
      <c r="B116" s="507"/>
      <c r="C116" s="507"/>
      <c r="D116" s="156">
        <f>D138+D117+D142+D145</f>
        <v>550</v>
      </c>
      <c r="E116" s="143">
        <f>E138+E117+E142+E145+E162+E164</f>
        <v>19.099999999999998</v>
      </c>
      <c r="F116" s="143">
        <f>F138+F117+F142+F145+F162+F164</f>
        <v>19.799999999999997</v>
      </c>
      <c r="G116" s="143">
        <f>G138+G117+G142+G145+G162+G164</f>
        <v>92.3</v>
      </c>
      <c r="H116" s="143">
        <f>H138+H117+H142+H145+H162+H164</f>
        <v>627.8</v>
      </c>
      <c r="I116" s="442"/>
      <c r="M116" s="96"/>
      <c r="N116" s="97"/>
      <c r="O116" s="97"/>
      <c r="P116" s="98"/>
      <c r="Q116" s="94"/>
      <c r="R116" s="94"/>
      <c r="S116" s="94"/>
      <c r="T116" s="94"/>
      <c r="U116" s="94"/>
      <c r="V116" s="94"/>
      <c r="W116" s="92"/>
      <c r="X116" s="120"/>
      <c r="Y116" s="94"/>
      <c r="Z116" s="94"/>
      <c r="AA116" s="94"/>
      <c r="AB116" s="94"/>
      <c r="AC116" s="94"/>
      <c r="AD116" s="94"/>
      <c r="AE116" s="95"/>
      <c r="AF116" s="95"/>
      <c r="AG116" s="97"/>
    </row>
    <row r="117" spans="1:33" s="88" customFormat="1" ht="30" customHeight="1">
      <c r="A117" s="542" t="s">
        <v>282</v>
      </c>
      <c r="B117" s="542"/>
      <c r="C117" s="542"/>
      <c r="D117" s="190">
        <v>230</v>
      </c>
      <c r="E117" s="121">
        <v>13.4</v>
      </c>
      <c r="F117" s="121">
        <v>15.1</v>
      </c>
      <c r="G117" s="121">
        <v>37.3</v>
      </c>
      <c r="H117" s="186">
        <f>E117*4+F117*9+G117*4</f>
        <v>338.7</v>
      </c>
      <c r="I117" s="304" t="s">
        <v>281</v>
      </c>
      <c r="M117" s="96"/>
      <c r="N117" s="97"/>
      <c r="O117" s="97"/>
      <c r="P117" s="98"/>
      <c r="Q117" s="94"/>
      <c r="R117" s="94"/>
      <c r="S117" s="94"/>
      <c r="T117" s="92"/>
      <c r="U117" s="92"/>
      <c r="V117" s="92"/>
      <c r="W117" s="92"/>
      <c r="X117" s="120"/>
      <c r="Y117" s="94"/>
      <c r="Z117" s="94"/>
      <c r="AA117" s="94"/>
      <c r="AB117" s="94"/>
      <c r="AC117" s="94"/>
      <c r="AD117" s="94"/>
      <c r="AE117" s="95"/>
      <c r="AF117" s="95"/>
      <c r="AG117" s="97"/>
    </row>
    <row r="118" spans="1:33" s="88" customFormat="1" ht="30" customHeight="1">
      <c r="A118" s="78" t="s">
        <v>136</v>
      </c>
      <c r="B118" s="69">
        <v>147</v>
      </c>
      <c r="C118" s="225" t="s">
        <v>142</v>
      </c>
      <c r="D118" s="235"/>
      <c r="E118" s="144"/>
      <c r="F118" s="144"/>
      <c r="G118" s="144"/>
      <c r="H118" s="144"/>
      <c r="I118" s="457"/>
      <c r="M118" s="96"/>
      <c r="N118" s="97"/>
      <c r="O118" s="97"/>
      <c r="P118" s="98"/>
      <c r="Q118" s="94"/>
      <c r="R118" s="94"/>
      <c r="S118" s="94"/>
      <c r="T118" s="92"/>
      <c r="U118" s="92"/>
      <c r="V118" s="92"/>
      <c r="W118" s="92"/>
      <c r="X118" s="120"/>
      <c r="Y118" s="94"/>
      <c r="Z118" s="94"/>
      <c r="AA118" s="94"/>
      <c r="AB118" s="94"/>
      <c r="AC118" s="94"/>
      <c r="AD118" s="94"/>
      <c r="AE118" s="95"/>
      <c r="AF118" s="95"/>
      <c r="AG118" s="97"/>
    </row>
    <row r="119" spans="1:33" s="13" customFormat="1" ht="30" customHeight="1">
      <c r="A119" s="164" t="s">
        <v>158</v>
      </c>
      <c r="B119" s="69">
        <f>C119*1.48</f>
        <v>103.6</v>
      </c>
      <c r="C119" s="226">
        <v>70</v>
      </c>
      <c r="D119" s="235"/>
      <c r="E119" s="227"/>
      <c r="F119" s="144"/>
      <c r="G119" s="144"/>
      <c r="H119" s="228"/>
      <c r="I119" s="458"/>
      <c r="K119" s="88"/>
      <c r="L119" s="88"/>
      <c r="M119" s="3"/>
      <c r="N119" s="20"/>
      <c r="O119" s="20"/>
      <c r="P119" s="15"/>
      <c r="Q119" s="19"/>
      <c r="R119" s="19"/>
      <c r="S119" s="19"/>
      <c r="T119" s="18"/>
      <c r="U119" s="18"/>
      <c r="V119" s="18"/>
      <c r="W119" s="18"/>
      <c r="X119" s="169"/>
      <c r="Y119" s="19"/>
      <c r="Z119" s="19"/>
      <c r="AA119" s="19"/>
      <c r="AB119" s="19"/>
      <c r="AC119" s="19"/>
      <c r="AD119" s="19"/>
      <c r="AE119" s="4"/>
      <c r="AF119" s="4"/>
      <c r="AG119" s="20"/>
    </row>
    <row r="120" spans="1:33" s="13" customFormat="1" ht="30" customHeight="1">
      <c r="A120" s="164" t="s">
        <v>160</v>
      </c>
      <c r="B120" s="69">
        <f>C120*1.048</f>
        <v>73.36</v>
      </c>
      <c r="C120" s="226">
        <v>70</v>
      </c>
      <c r="D120" s="235"/>
      <c r="E120" s="144"/>
      <c r="F120" s="144"/>
      <c r="G120" s="144"/>
      <c r="H120" s="144"/>
      <c r="I120" s="443"/>
      <c r="M120" s="3"/>
      <c r="N120" s="20"/>
      <c r="O120" s="20"/>
      <c r="P120" s="15"/>
      <c r="Q120" s="19"/>
      <c r="R120" s="19"/>
      <c r="S120" s="19"/>
      <c r="T120" s="18"/>
      <c r="U120" s="18"/>
      <c r="V120" s="18"/>
      <c r="W120" s="18"/>
      <c r="X120" s="169"/>
      <c r="Y120" s="19"/>
      <c r="Z120" s="19"/>
      <c r="AA120" s="19"/>
      <c r="AB120" s="19"/>
      <c r="AC120" s="19"/>
      <c r="AD120" s="19"/>
      <c r="AE120" s="4"/>
      <c r="AF120" s="4"/>
      <c r="AG120" s="20"/>
    </row>
    <row r="121" spans="1:33" s="13" customFormat="1" ht="30" customHeight="1">
      <c r="A121" s="229" t="s">
        <v>137</v>
      </c>
      <c r="B121" s="30"/>
      <c r="C121" s="230">
        <v>50</v>
      </c>
      <c r="D121" s="235"/>
      <c r="E121" s="54"/>
      <c r="F121" s="144"/>
      <c r="G121" s="144"/>
      <c r="H121" s="144"/>
      <c r="I121" s="459"/>
      <c r="M121" s="3"/>
      <c r="N121" s="20"/>
      <c r="O121" s="20"/>
      <c r="P121" s="15"/>
      <c r="Q121" s="19"/>
      <c r="R121" s="19"/>
      <c r="S121" s="19"/>
      <c r="T121" s="18"/>
      <c r="U121" s="18"/>
      <c r="V121" s="18"/>
      <c r="W121" s="18"/>
      <c r="X121" s="169"/>
      <c r="Y121" s="19"/>
      <c r="Z121" s="19"/>
      <c r="AA121" s="19"/>
      <c r="AB121" s="19"/>
      <c r="AC121" s="19"/>
      <c r="AD121" s="19"/>
      <c r="AE121" s="4"/>
      <c r="AF121" s="4"/>
      <c r="AG121" s="20"/>
    </row>
    <row r="122" spans="1:33" s="13" customFormat="1" ht="30" customHeight="1">
      <c r="A122" s="75" t="s">
        <v>23</v>
      </c>
      <c r="B122" s="122">
        <v>61</v>
      </c>
      <c r="C122" s="122">
        <v>61</v>
      </c>
      <c r="D122" s="376"/>
      <c r="E122" s="54"/>
      <c r="F122" s="144"/>
      <c r="G122" s="144"/>
      <c r="H122" s="49"/>
      <c r="I122" s="459"/>
      <c r="M122" s="3"/>
      <c r="N122" s="20"/>
      <c r="O122" s="20"/>
      <c r="P122" s="15"/>
      <c r="Q122" s="19"/>
      <c r="R122" s="19"/>
      <c r="S122" s="19"/>
      <c r="T122" s="18"/>
      <c r="U122" s="18"/>
      <c r="V122" s="18"/>
      <c r="W122" s="18"/>
      <c r="X122" s="169"/>
      <c r="Y122" s="19"/>
      <c r="Z122" s="19"/>
      <c r="AA122" s="19"/>
      <c r="AB122" s="19"/>
      <c r="AC122" s="19"/>
      <c r="AD122" s="19"/>
      <c r="AE122" s="4"/>
      <c r="AF122" s="4"/>
      <c r="AG122" s="20"/>
    </row>
    <row r="123" spans="1:33" s="13" customFormat="1" ht="30" customHeight="1">
      <c r="A123" s="72" t="s">
        <v>81</v>
      </c>
      <c r="B123" s="51">
        <f>C123*1.25</f>
        <v>52.5</v>
      </c>
      <c r="C123" s="51">
        <v>42</v>
      </c>
      <c r="D123" s="376"/>
      <c r="E123" s="54"/>
      <c r="F123" s="144"/>
      <c r="G123" s="144"/>
      <c r="H123" s="49"/>
      <c r="I123" s="459"/>
      <c r="M123" s="3"/>
      <c r="N123" s="20"/>
      <c r="O123" s="20"/>
      <c r="P123" s="15"/>
      <c r="Q123" s="19"/>
      <c r="R123" s="19"/>
      <c r="S123" s="19"/>
      <c r="T123" s="18"/>
      <c r="U123" s="18"/>
      <c r="V123" s="18"/>
      <c r="W123" s="18"/>
      <c r="X123" s="169"/>
      <c r="Y123" s="19"/>
      <c r="Z123" s="19"/>
      <c r="AA123" s="19"/>
      <c r="AB123" s="19"/>
      <c r="AC123" s="19"/>
      <c r="AD123" s="19"/>
      <c r="AE123" s="4"/>
      <c r="AF123" s="4"/>
      <c r="AG123" s="20"/>
    </row>
    <row r="124" spans="1:33" s="13" customFormat="1" ht="30" customHeight="1">
      <c r="A124" s="72" t="s">
        <v>16</v>
      </c>
      <c r="B124" s="49">
        <f>C124*1.33</f>
        <v>55.86</v>
      </c>
      <c r="C124" s="51">
        <v>42</v>
      </c>
      <c r="D124" s="376"/>
      <c r="E124" s="54"/>
      <c r="F124" s="144"/>
      <c r="G124" s="144"/>
      <c r="H124" s="49"/>
      <c r="I124" s="459"/>
      <c r="K124" s="1" t="s">
        <v>60</v>
      </c>
      <c r="M124" s="3"/>
      <c r="N124" s="20"/>
      <c r="O124" s="20"/>
      <c r="P124" s="15"/>
      <c r="Q124" s="19"/>
      <c r="R124" s="19"/>
      <c r="S124" s="19"/>
      <c r="T124" s="18"/>
      <c r="U124" s="18"/>
      <c r="V124" s="18"/>
      <c r="W124" s="18"/>
      <c r="X124" s="169"/>
      <c r="Y124" s="19"/>
      <c r="Z124" s="19"/>
      <c r="AA124" s="19"/>
      <c r="AB124" s="19"/>
      <c r="AC124" s="19"/>
      <c r="AD124" s="19"/>
      <c r="AE124" s="4"/>
      <c r="AF124" s="4"/>
      <c r="AG124" s="20"/>
    </row>
    <row r="125" spans="1:33" s="13" customFormat="1" ht="30" customHeight="1">
      <c r="A125" s="75" t="s">
        <v>18</v>
      </c>
      <c r="B125" s="51">
        <f>C125*1.19</f>
        <v>11.899999999999999</v>
      </c>
      <c r="C125" s="51">
        <v>10</v>
      </c>
      <c r="D125" s="376"/>
      <c r="E125" s="54"/>
      <c r="F125" s="54"/>
      <c r="G125" s="54"/>
      <c r="H125" s="49"/>
      <c r="I125" s="459"/>
      <c r="K125" s="6" t="s">
        <v>27</v>
      </c>
      <c r="L125" s="13">
        <f>D224+D164</f>
        <v>70</v>
      </c>
      <c r="M125" s="3"/>
      <c r="N125" s="20"/>
      <c r="O125" s="20"/>
      <c r="P125" s="15"/>
      <c r="Q125" s="19"/>
      <c r="R125" s="19"/>
      <c r="S125" s="19"/>
      <c r="T125" s="18"/>
      <c r="U125" s="18"/>
      <c r="V125" s="18"/>
      <c r="W125" s="18"/>
      <c r="X125" s="169"/>
      <c r="Y125" s="19"/>
      <c r="Z125" s="19"/>
      <c r="AA125" s="19"/>
      <c r="AB125" s="19"/>
      <c r="AC125" s="19"/>
      <c r="AD125" s="19"/>
      <c r="AE125" s="4"/>
      <c r="AF125" s="4"/>
      <c r="AG125" s="20"/>
    </row>
    <row r="126" spans="1:33" s="13" customFormat="1" ht="30" customHeight="1">
      <c r="A126" s="79" t="s">
        <v>11</v>
      </c>
      <c r="B126" s="51">
        <v>10</v>
      </c>
      <c r="C126" s="51">
        <v>10</v>
      </c>
      <c r="D126" s="376"/>
      <c r="E126" s="54"/>
      <c r="F126" s="54"/>
      <c r="G126" s="54"/>
      <c r="H126" s="49"/>
      <c r="I126" s="459"/>
      <c r="K126" s="7" t="s">
        <v>28</v>
      </c>
      <c r="L126" s="24">
        <f>+D222+D162+B207</f>
        <v>68</v>
      </c>
      <c r="M126" s="3"/>
      <c r="N126" s="20"/>
      <c r="O126" s="20"/>
      <c r="P126" s="15"/>
      <c r="Q126" s="19"/>
      <c r="R126" s="19"/>
      <c r="S126" s="19"/>
      <c r="T126" s="18"/>
      <c r="U126" s="18"/>
      <c r="V126" s="18"/>
      <c r="W126" s="18"/>
      <c r="X126" s="169"/>
      <c r="Y126" s="19"/>
      <c r="Z126" s="19"/>
      <c r="AA126" s="19"/>
      <c r="AB126" s="19"/>
      <c r="AC126" s="19"/>
      <c r="AD126" s="19"/>
      <c r="AE126" s="4"/>
      <c r="AF126" s="4"/>
      <c r="AG126" s="20"/>
    </row>
    <row r="127" spans="1:33" s="13" customFormat="1" ht="30" customHeight="1">
      <c r="A127" s="508" t="s">
        <v>95</v>
      </c>
      <c r="B127" s="508"/>
      <c r="C127" s="508"/>
      <c r="D127" s="508"/>
      <c r="E127" s="508"/>
      <c r="F127" s="508"/>
      <c r="G127" s="508"/>
      <c r="H127" s="508"/>
      <c r="I127" s="508"/>
      <c r="K127" s="8" t="s">
        <v>29</v>
      </c>
      <c r="L127" s="24">
        <f>+B211+B146+B147</f>
        <v>45</v>
      </c>
      <c r="M127" s="3"/>
      <c r="N127" s="20"/>
      <c r="O127" s="20"/>
      <c r="P127" s="15"/>
      <c r="Q127" s="19"/>
      <c r="R127" s="19"/>
      <c r="S127" s="19"/>
      <c r="T127" s="18"/>
      <c r="U127" s="18"/>
      <c r="V127" s="18"/>
      <c r="W127" s="18"/>
      <c r="X127" s="169"/>
      <c r="Y127" s="19"/>
      <c r="Z127" s="19"/>
      <c r="AA127" s="19"/>
      <c r="AB127" s="19"/>
      <c r="AC127" s="19"/>
      <c r="AD127" s="19"/>
      <c r="AE127" s="4"/>
      <c r="AF127" s="4"/>
      <c r="AG127" s="20"/>
    </row>
    <row r="128" spans="1:33" s="88" customFormat="1" ht="30" customHeight="1">
      <c r="A128" s="516" t="s">
        <v>279</v>
      </c>
      <c r="B128" s="516"/>
      <c r="C128" s="516"/>
      <c r="D128" s="61">
        <v>230</v>
      </c>
      <c r="E128" s="63">
        <v>12.9</v>
      </c>
      <c r="F128" s="63">
        <v>14.5</v>
      </c>
      <c r="G128" s="63">
        <v>37.3</v>
      </c>
      <c r="H128" s="62">
        <f>E128*4+F128*9+G128*4</f>
        <v>331.29999999999995</v>
      </c>
      <c r="I128" s="444" t="s">
        <v>280</v>
      </c>
      <c r="K128" s="9" t="s">
        <v>53</v>
      </c>
      <c r="L128" s="24">
        <f>C197+B122</f>
        <v>64</v>
      </c>
      <c r="M128" s="96"/>
      <c r="N128" s="97"/>
      <c r="O128" s="97"/>
      <c r="P128" s="98"/>
      <c r="Q128" s="94"/>
      <c r="R128" s="94"/>
      <c r="S128" s="94"/>
      <c r="T128" s="92"/>
      <c r="U128" s="92"/>
      <c r="V128" s="92"/>
      <c r="W128" s="92"/>
      <c r="X128" s="170"/>
      <c r="Y128" s="94"/>
      <c r="Z128" s="94"/>
      <c r="AA128" s="94"/>
      <c r="AB128" s="94"/>
      <c r="AC128" s="94"/>
      <c r="AD128" s="94"/>
      <c r="AE128" s="95"/>
      <c r="AF128" s="95"/>
      <c r="AG128" s="97"/>
    </row>
    <row r="129" spans="1:33" s="13" customFormat="1" ht="30" customHeight="1">
      <c r="A129" s="73" t="s">
        <v>111</v>
      </c>
      <c r="B129" s="38">
        <f>C129*1.36</f>
        <v>107.44000000000001</v>
      </c>
      <c r="C129" s="39">
        <v>79</v>
      </c>
      <c r="D129" s="26"/>
      <c r="E129" s="63"/>
      <c r="F129" s="63"/>
      <c r="G129" s="63"/>
      <c r="H129" s="62"/>
      <c r="I129" s="444"/>
      <c r="K129" s="9" t="s">
        <v>87</v>
      </c>
      <c r="L129" s="89">
        <f>C215</f>
        <v>65</v>
      </c>
      <c r="M129" s="3"/>
      <c r="N129" s="20"/>
      <c r="O129" s="20"/>
      <c r="P129" s="15"/>
      <c r="Q129" s="19"/>
      <c r="R129" s="19"/>
      <c r="S129" s="19"/>
      <c r="T129" s="18"/>
      <c r="U129" s="18"/>
      <c r="V129" s="18"/>
      <c r="W129" s="18"/>
      <c r="X129" s="169"/>
      <c r="Y129" s="19"/>
      <c r="Z129" s="19"/>
      <c r="AA129" s="19"/>
      <c r="AB129" s="19"/>
      <c r="AC129" s="19"/>
      <c r="AD129" s="19"/>
      <c r="AE129" s="4"/>
      <c r="AF129" s="4"/>
      <c r="AG129" s="20"/>
    </row>
    <row r="130" spans="1:33" s="13" customFormat="1" ht="30" customHeight="1">
      <c r="A130" s="73" t="s">
        <v>112</v>
      </c>
      <c r="B130" s="38">
        <f>C130*1.18</f>
        <v>93.22</v>
      </c>
      <c r="C130" s="5">
        <f>C129</f>
        <v>79</v>
      </c>
      <c r="D130" s="42"/>
      <c r="E130" s="43"/>
      <c r="F130" s="43"/>
      <c r="G130" s="43"/>
      <c r="H130" s="160"/>
      <c r="I130" s="449"/>
      <c r="K130" s="8" t="s">
        <v>30</v>
      </c>
      <c r="L130" s="24">
        <f>C193+C167</f>
        <v>58</v>
      </c>
      <c r="M130" s="3"/>
      <c r="N130" s="20"/>
      <c r="O130" s="20"/>
      <c r="P130" s="15"/>
      <c r="Q130" s="19"/>
      <c r="R130" s="19"/>
      <c r="S130" s="19"/>
      <c r="T130" s="18"/>
      <c r="U130" s="18"/>
      <c r="V130" s="18"/>
      <c r="W130" s="18"/>
      <c r="X130" s="169"/>
      <c r="Y130" s="19"/>
      <c r="Z130" s="19"/>
      <c r="AA130" s="19"/>
      <c r="AB130" s="19"/>
      <c r="AC130" s="19"/>
      <c r="AD130" s="19"/>
      <c r="AE130" s="4"/>
      <c r="AF130" s="4"/>
      <c r="AG130" s="20"/>
    </row>
    <row r="131" spans="1:33" s="13" customFormat="1" ht="30" customHeight="1">
      <c r="A131" s="79" t="s">
        <v>11</v>
      </c>
      <c r="B131" s="51">
        <v>10</v>
      </c>
      <c r="C131" s="51">
        <v>10</v>
      </c>
      <c r="D131" s="29"/>
      <c r="E131" s="63"/>
      <c r="F131" s="63"/>
      <c r="G131" s="63"/>
      <c r="H131" s="62"/>
      <c r="I131" s="444"/>
      <c r="K131" s="7" t="s">
        <v>31</v>
      </c>
      <c r="L131" s="24">
        <f>C139++C198+C199++C123+C125++C171+C173+C175++C176</f>
        <v>213</v>
      </c>
      <c r="M131" s="3"/>
      <c r="N131" s="20"/>
      <c r="O131" s="20"/>
      <c r="P131" s="15"/>
      <c r="Q131" s="19"/>
      <c r="R131" s="19"/>
      <c r="S131" s="19"/>
      <c r="T131" s="18"/>
      <c r="U131" s="18"/>
      <c r="V131" s="18"/>
      <c r="W131" s="18"/>
      <c r="X131" s="169"/>
      <c r="Y131" s="19"/>
      <c r="Z131" s="19"/>
      <c r="AA131" s="19"/>
      <c r="AB131" s="19"/>
      <c r="AC131" s="19"/>
      <c r="AD131" s="19"/>
      <c r="AE131" s="4"/>
      <c r="AF131" s="4"/>
      <c r="AG131" s="20"/>
    </row>
    <row r="132" spans="1:33" s="13" customFormat="1" ht="30" customHeight="1">
      <c r="A132" s="229" t="s">
        <v>121</v>
      </c>
      <c r="B132" s="35"/>
      <c r="C132" s="35">
        <v>50</v>
      </c>
      <c r="D132" s="29"/>
      <c r="E132" s="63"/>
      <c r="F132" s="63"/>
      <c r="G132" s="63"/>
      <c r="H132" s="62"/>
      <c r="I132" s="444"/>
      <c r="K132" s="7" t="s">
        <v>32</v>
      </c>
      <c r="M132" s="3"/>
      <c r="N132" s="20"/>
      <c r="O132" s="20"/>
      <c r="P132" s="15"/>
      <c r="Q132" s="19"/>
      <c r="R132" s="19"/>
      <c r="S132" s="19"/>
      <c r="T132" s="18"/>
      <c r="U132" s="18"/>
      <c r="V132" s="18"/>
      <c r="W132" s="18"/>
      <c r="X132" s="169"/>
      <c r="Y132" s="19"/>
      <c r="Z132" s="19"/>
      <c r="AA132" s="19"/>
      <c r="AB132" s="19"/>
      <c r="AC132" s="19"/>
      <c r="AD132" s="19"/>
      <c r="AE132" s="4"/>
      <c r="AF132" s="4"/>
      <c r="AG132" s="20"/>
    </row>
    <row r="133" spans="1:33" s="13" customFormat="1" ht="30" customHeight="1">
      <c r="A133" s="79" t="s">
        <v>23</v>
      </c>
      <c r="B133" s="51">
        <v>61</v>
      </c>
      <c r="C133" s="51">
        <v>61</v>
      </c>
      <c r="D133" s="29"/>
      <c r="E133" s="63"/>
      <c r="F133" s="63"/>
      <c r="G133" s="63"/>
      <c r="H133" s="62"/>
      <c r="I133" s="444"/>
      <c r="K133" s="8" t="s">
        <v>33</v>
      </c>
      <c r="L133" s="24"/>
      <c r="M133" s="3"/>
      <c r="N133" s="20"/>
      <c r="O133" s="20"/>
      <c r="P133" s="15"/>
      <c r="Q133" s="19"/>
      <c r="R133" s="19"/>
      <c r="S133" s="19"/>
      <c r="T133" s="18"/>
      <c r="U133" s="18"/>
      <c r="V133" s="18"/>
      <c r="W133" s="18"/>
      <c r="X133" s="169"/>
      <c r="Y133" s="19"/>
      <c r="Z133" s="19"/>
      <c r="AA133" s="19"/>
      <c r="AB133" s="19"/>
      <c r="AC133" s="19"/>
      <c r="AD133" s="19"/>
      <c r="AE133" s="4"/>
      <c r="AF133" s="4"/>
      <c r="AG133" s="20"/>
    </row>
    <row r="134" spans="1:33" s="13" customFormat="1" ht="30" customHeight="1">
      <c r="A134" s="72" t="s">
        <v>81</v>
      </c>
      <c r="B134" s="49">
        <f>C134*1.25</f>
        <v>25</v>
      </c>
      <c r="C134" s="39">
        <v>20</v>
      </c>
      <c r="D134" s="29"/>
      <c r="E134" s="63"/>
      <c r="F134" s="63"/>
      <c r="G134" s="63"/>
      <c r="H134" s="62"/>
      <c r="I134" s="444"/>
      <c r="K134" s="8" t="s">
        <v>34</v>
      </c>
      <c r="L134" s="24">
        <f>++C144+B148+B149</f>
        <v>24</v>
      </c>
      <c r="M134" s="3"/>
      <c r="N134" s="20"/>
      <c r="O134" s="20"/>
      <c r="P134" s="15"/>
      <c r="Q134" s="19"/>
      <c r="R134" s="19"/>
      <c r="S134" s="19"/>
      <c r="T134" s="18"/>
      <c r="U134" s="18"/>
      <c r="V134" s="18"/>
      <c r="W134" s="18"/>
      <c r="X134" s="169"/>
      <c r="Y134" s="19"/>
      <c r="Z134" s="19"/>
      <c r="AA134" s="19"/>
      <c r="AB134" s="19"/>
      <c r="AC134" s="19"/>
      <c r="AD134" s="19"/>
      <c r="AE134" s="4"/>
      <c r="AF134" s="4"/>
      <c r="AG134" s="20"/>
    </row>
    <row r="135" spans="1:33" s="13" customFormat="1" ht="30" customHeight="1">
      <c r="A135" s="72" t="s">
        <v>16</v>
      </c>
      <c r="B135" s="49">
        <f>C135*1.33</f>
        <v>26.6</v>
      </c>
      <c r="C135" s="39">
        <v>20</v>
      </c>
      <c r="D135" s="29"/>
      <c r="E135" s="63"/>
      <c r="F135" s="63"/>
      <c r="G135" s="63"/>
      <c r="H135" s="62"/>
      <c r="I135" s="444"/>
      <c r="K135" s="8" t="s">
        <v>35</v>
      </c>
      <c r="L135" s="1">
        <f>C217</f>
        <v>200</v>
      </c>
      <c r="M135" s="3"/>
      <c r="N135" s="20"/>
      <c r="O135" s="20"/>
      <c r="P135" s="15"/>
      <c r="Q135" s="19"/>
      <c r="R135" s="19"/>
      <c r="S135" s="19"/>
      <c r="T135" s="18"/>
      <c r="U135" s="18"/>
      <c r="V135" s="18"/>
      <c r="W135" s="18"/>
      <c r="X135" s="169"/>
      <c r="Y135" s="19"/>
      <c r="Z135" s="19"/>
      <c r="AA135" s="19"/>
      <c r="AB135" s="19"/>
      <c r="AC135" s="19"/>
      <c r="AD135" s="19"/>
      <c r="AE135" s="4"/>
      <c r="AF135" s="4"/>
      <c r="AG135" s="20"/>
    </row>
    <row r="136" spans="1:33" s="142" customFormat="1" ht="30" customHeight="1">
      <c r="A136" s="79" t="s">
        <v>18</v>
      </c>
      <c r="B136" s="51">
        <f>C136*1.19</f>
        <v>11.899999999999999</v>
      </c>
      <c r="C136" s="51">
        <v>10</v>
      </c>
      <c r="D136" s="29"/>
      <c r="E136" s="63"/>
      <c r="F136" s="63"/>
      <c r="G136" s="63"/>
      <c r="H136" s="62"/>
      <c r="I136" s="444"/>
      <c r="K136" s="60" t="s">
        <v>36</v>
      </c>
      <c r="L136" s="132"/>
      <c r="M136" s="204"/>
      <c r="N136" s="205"/>
      <c r="O136" s="205"/>
      <c r="P136" s="206"/>
      <c r="Q136" s="207"/>
      <c r="R136" s="207"/>
      <c r="S136" s="207"/>
      <c r="T136" s="208"/>
      <c r="U136" s="208"/>
      <c r="V136" s="208"/>
      <c r="W136" s="208"/>
      <c r="X136" s="209"/>
      <c r="Y136" s="207"/>
      <c r="Z136" s="207"/>
      <c r="AA136" s="207"/>
      <c r="AB136" s="207"/>
      <c r="AC136" s="207"/>
      <c r="AD136" s="207"/>
      <c r="AE136" s="210"/>
      <c r="AF136" s="210"/>
      <c r="AG136" s="205"/>
    </row>
    <row r="137" spans="1:33" s="88" customFormat="1" ht="30" customHeight="1">
      <c r="A137" s="80" t="s">
        <v>72</v>
      </c>
      <c r="B137" s="39">
        <v>10</v>
      </c>
      <c r="C137" s="39">
        <v>10</v>
      </c>
      <c r="D137" s="29"/>
      <c r="E137" s="63"/>
      <c r="F137" s="63"/>
      <c r="G137" s="63"/>
      <c r="H137" s="63"/>
      <c r="I137" s="444"/>
      <c r="K137" s="8" t="s">
        <v>82</v>
      </c>
      <c r="L137" s="102">
        <f>B158</f>
        <v>1</v>
      </c>
      <c r="M137" s="100"/>
      <c r="N137" s="94"/>
      <c r="O137" s="94"/>
      <c r="P137" s="101"/>
      <c r="Q137" s="101"/>
      <c r="R137" s="94"/>
      <c r="S137" s="94"/>
      <c r="T137" s="92"/>
      <c r="U137" s="92"/>
      <c r="V137" s="92"/>
      <c r="W137" s="92"/>
      <c r="X137" s="120"/>
      <c r="Y137" s="94"/>
      <c r="Z137" s="94"/>
      <c r="AA137" s="94"/>
      <c r="AB137" s="94"/>
      <c r="AC137" s="94"/>
      <c r="AD137" s="94"/>
      <c r="AE137" s="95"/>
      <c r="AF137" s="95"/>
      <c r="AG137" s="97"/>
    </row>
    <row r="138" spans="1:33" s="13" customFormat="1" ht="30" customHeight="1">
      <c r="A138" s="516" t="s">
        <v>498</v>
      </c>
      <c r="B138" s="516"/>
      <c r="C138" s="516"/>
      <c r="D138" s="61">
        <v>60</v>
      </c>
      <c r="E138" s="63">
        <v>0.6</v>
      </c>
      <c r="F138" s="63">
        <v>0.2</v>
      </c>
      <c r="G138" s="63">
        <v>2.4</v>
      </c>
      <c r="H138" s="186">
        <f>E138*4+F138*9+G138*4</f>
        <v>13.8</v>
      </c>
      <c r="I138" s="304" t="s">
        <v>278</v>
      </c>
      <c r="K138" s="8" t="s">
        <v>54</v>
      </c>
      <c r="L138" s="90"/>
      <c r="M138" s="21"/>
      <c r="N138" s="19"/>
      <c r="O138" s="19"/>
      <c r="P138" s="22"/>
      <c r="Q138" s="22"/>
      <c r="R138" s="22"/>
      <c r="S138" s="19"/>
      <c r="T138" s="18"/>
      <c r="U138" s="18"/>
      <c r="V138" s="18"/>
      <c r="W138" s="18"/>
      <c r="X138" s="171"/>
      <c r="Y138" s="19"/>
      <c r="Z138" s="19"/>
      <c r="AA138" s="19"/>
      <c r="AB138" s="19"/>
      <c r="AC138" s="19"/>
      <c r="AD138" s="19"/>
      <c r="AE138" s="4"/>
      <c r="AF138" s="4"/>
      <c r="AG138" s="20"/>
    </row>
    <row r="139" spans="1:33" s="13" customFormat="1" ht="30" customHeight="1">
      <c r="A139" s="130" t="s">
        <v>124</v>
      </c>
      <c r="B139" s="51">
        <f>C139*1.02</f>
        <v>61.2</v>
      </c>
      <c r="C139" s="83">
        <v>60</v>
      </c>
      <c r="D139" s="82"/>
      <c r="E139" s="114"/>
      <c r="F139" s="114"/>
      <c r="G139" s="114"/>
      <c r="H139" s="114"/>
      <c r="I139" s="496"/>
      <c r="K139" s="13" t="s">
        <v>257</v>
      </c>
      <c r="M139" s="21"/>
      <c r="N139" s="19"/>
      <c r="O139" s="19"/>
      <c r="P139" s="19"/>
      <c r="Q139" s="19"/>
      <c r="R139" s="19"/>
      <c r="S139" s="19"/>
      <c r="T139" s="18"/>
      <c r="U139" s="18"/>
      <c r="V139" s="18"/>
      <c r="W139" s="18"/>
      <c r="X139" s="171"/>
      <c r="Y139" s="19"/>
      <c r="Z139" s="19"/>
      <c r="AA139" s="19"/>
      <c r="AB139" s="19"/>
      <c r="AC139" s="19"/>
      <c r="AD139" s="19"/>
      <c r="AE139" s="4"/>
      <c r="AF139" s="4"/>
      <c r="AG139" s="20"/>
    </row>
    <row r="140" spans="1:33" s="88" customFormat="1" ht="30" customHeight="1">
      <c r="A140" s="75" t="s">
        <v>125</v>
      </c>
      <c r="B140" s="51">
        <f>C140*1.18</f>
        <v>70.8</v>
      </c>
      <c r="C140" s="83">
        <v>60</v>
      </c>
      <c r="D140" s="82"/>
      <c r="E140" s="114"/>
      <c r="F140" s="114"/>
      <c r="G140" s="114"/>
      <c r="H140" s="114"/>
      <c r="I140" s="456"/>
      <c r="K140" s="7" t="s">
        <v>37</v>
      </c>
      <c r="L140" s="10">
        <f>B143</f>
        <v>2</v>
      </c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</row>
    <row r="141" spans="1:33" s="88" customFormat="1" ht="30" customHeight="1">
      <c r="A141" s="75" t="s">
        <v>138</v>
      </c>
      <c r="B141" s="51">
        <f>C141*1.82</f>
        <v>109.2</v>
      </c>
      <c r="C141" s="83">
        <v>60</v>
      </c>
      <c r="D141" s="82"/>
      <c r="E141" s="114"/>
      <c r="F141" s="114"/>
      <c r="G141" s="114"/>
      <c r="H141" s="114"/>
      <c r="I141" s="456"/>
      <c r="K141" s="7" t="s">
        <v>38</v>
      </c>
      <c r="L141" s="10">
        <f>+C205</f>
        <v>74</v>
      </c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</row>
    <row r="142" spans="1:33" s="88" customFormat="1" ht="30" customHeight="1">
      <c r="A142" s="504" t="s">
        <v>286</v>
      </c>
      <c r="B142" s="504"/>
      <c r="C142" s="504"/>
      <c r="D142" s="62">
        <v>200</v>
      </c>
      <c r="E142" s="63">
        <v>0.2</v>
      </c>
      <c r="F142" s="63">
        <v>0</v>
      </c>
      <c r="G142" s="63">
        <v>11.9</v>
      </c>
      <c r="H142" s="62">
        <v>53</v>
      </c>
      <c r="I142" s="444" t="s">
        <v>285</v>
      </c>
      <c r="K142" s="8" t="s">
        <v>39</v>
      </c>
      <c r="L142" s="102">
        <f>C119+C192</f>
        <v>84</v>
      </c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</row>
    <row r="143" spans="1:12" s="13" customFormat="1" ht="30" customHeight="1">
      <c r="A143" s="75" t="s">
        <v>26</v>
      </c>
      <c r="B143" s="50">
        <v>2</v>
      </c>
      <c r="C143" s="50">
        <v>2</v>
      </c>
      <c r="D143" s="377"/>
      <c r="E143" s="231"/>
      <c r="F143" s="231"/>
      <c r="G143" s="231"/>
      <c r="H143" s="232"/>
      <c r="I143" s="444"/>
      <c r="K143" s="8" t="s">
        <v>40</v>
      </c>
      <c r="L143" s="102"/>
    </row>
    <row r="144" spans="1:12" s="13" customFormat="1" ht="30" customHeight="1">
      <c r="A144" s="75" t="s">
        <v>4</v>
      </c>
      <c r="B144" s="40">
        <v>12</v>
      </c>
      <c r="C144" s="40">
        <v>12</v>
      </c>
      <c r="D144" s="41"/>
      <c r="E144" s="231"/>
      <c r="F144" s="231"/>
      <c r="G144" s="231"/>
      <c r="H144" s="232"/>
      <c r="I144" s="443"/>
      <c r="K144" s="8" t="s">
        <v>41</v>
      </c>
      <c r="L144" s="102"/>
    </row>
    <row r="145" spans="1:12" s="13" customFormat="1" ht="30" customHeight="1">
      <c r="A145" s="234" t="s">
        <v>283</v>
      </c>
      <c r="B145" s="234"/>
      <c r="C145" s="234"/>
      <c r="D145" s="62">
        <v>60</v>
      </c>
      <c r="E145" s="63">
        <v>3.3</v>
      </c>
      <c r="F145" s="63">
        <v>4.1</v>
      </c>
      <c r="G145" s="63">
        <v>22.6</v>
      </c>
      <c r="H145" s="62">
        <f>E145*4+F145*9+G145*4</f>
        <v>140.5</v>
      </c>
      <c r="I145" s="444" t="s">
        <v>284</v>
      </c>
      <c r="K145" s="8" t="s">
        <v>42</v>
      </c>
      <c r="L145" s="10">
        <f>B208++B151</f>
        <v>17</v>
      </c>
    </row>
    <row r="146" spans="1:12" s="142" customFormat="1" ht="30" customHeight="1">
      <c r="A146" s="79" t="s">
        <v>21</v>
      </c>
      <c r="B146" s="51">
        <v>34</v>
      </c>
      <c r="C146" s="51">
        <v>34</v>
      </c>
      <c r="D146" s="41"/>
      <c r="E146" s="231"/>
      <c r="F146" s="231"/>
      <c r="G146" s="231"/>
      <c r="H146" s="232"/>
      <c r="I146" s="443"/>
      <c r="K146" s="8" t="s">
        <v>106</v>
      </c>
      <c r="L146" s="10"/>
    </row>
    <row r="147" spans="1:12" s="13" customFormat="1" ht="30" customHeight="1">
      <c r="A147" s="72" t="s">
        <v>120</v>
      </c>
      <c r="B147" s="49">
        <v>1</v>
      </c>
      <c r="C147" s="39">
        <v>1</v>
      </c>
      <c r="D147" s="41"/>
      <c r="E147" s="231"/>
      <c r="F147" s="231"/>
      <c r="G147" s="231"/>
      <c r="H147" s="232"/>
      <c r="I147" s="443"/>
      <c r="K147" s="60" t="s">
        <v>43</v>
      </c>
      <c r="L147" s="211"/>
    </row>
    <row r="148" spans="1:12" s="13" customFormat="1" ht="30" customHeight="1">
      <c r="A148" s="72" t="s">
        <v>4</v>
      </c>
      <c r="B148" s="49">
        <v>10</v>
      </c>
      <c r="C148" s="39">
        <v>10</v>
      </c>
      <c r="D148" s="41"/>
      <c r="E148" s="231"/>
      <c r="F148" s="231"/>
      <c r="G148" s="231"/>
      <c r="H148" s="232"/>
      <c r="I148" s="443"/>
      <c r="K148" s="7" t="s">
        <v>44</v>
      </c>
      <c r="L148" s="10" t="s">
        <v>156</v>
      </c>
    </row>
    <row r="149" spans="1:12" s="13" customFormat="1" ht="30" customHeight="1">
      <c r="A149" s="79" t="s">
        <v>174</v>
      </c>
      <c r="B149" s="51">
        <v>2</v>
      </c>
      <c r="C149" s="51">
        <v>2</v>
      </c>
      <c r="D149" s="41"/>
      <c r="E149" s="231"/>
      <c r="F149" s="231"/>
      <c r="G149" s="231"/>
      <c r="H149" s="232"/>
      <c r="I149" s="443"/>
      <c r="K149" s="7" t="s">
        <v>45</v>
      </c>
      <c r="L149" s="1"/>
    </row>
    <row r="150" spans="1:12" s="13" customFormat="1" ht="30" customHeight="1">
      <c r="A150" s="79" t="s">
        <v>19</v>
      </c>
      <c r="B150" s="51">
        <v>5</v>
      </c>
      <c r="C150" s="51">
        <v>5</v>
      </c>
      <c r="D150" s="41"/>
      <c r="E150" s="231"/>
      <c r="F150" s="231"/>
      <c r="G150" s="231"/>
      <c r="H150" s="232"/>
      <c r="I150" s="443"/>
      <c r="K150" s="8" t="s">
        <v>46</v>
      </c>
      <c r="L150" s="10">
        <f>C202+C213+B150+C216</f>
        <v>21</v>
      </c>
    </row>
    <row r="151" spans="1:12" s="13" customFormat="1" ht="30" customHeight="1">
      <c r="A151" s="79" t="s">
        <v>70</v>
      </c>
      <c r="B151" s="51">
        <v>5</v>
      </c>
      <c r="C151" s="51">
        <v>5</v>
      </c>
      <c r="D151" s="41"/>
      <c r="E151" s="231"/>
      <c r="F151" s="231"/>
      <c r="G151" s="231"/>
      <c r="H151" s="232"/>
      <c r="I151" s="443"/>
      <c r="K151" s="8" t="s">
        <v>47</v>
      </c>
      <c r="L151" s="10">
        <f>C212++C126+C177+C161</f>
        <v>17.2</v>
      </c>
    </row>
    <row r="152" spans="1:12" s="13" customFormat="1" ht="30" customHeight="1">
      <c r="A152" s="81" t="s">
        <v>56</v>
      </c>
      <c r="B152" s="280">
        <f>B151*460/1000</f>
        <v>2.3</v>
      </c>
      <c r="C152" s="280">
        <f>C151*460/1000</f>
        <v>2.3</v>
      </c>
      <c r="D152" s="219"/>
      <c r="E152" s="63"/>
      <c r="F152" s="63"/>
      <c r="G152" s="63"/>
      <c r="H152" s="62"/>
      <c r="I152" s="443"/>
      <c r="K152" s="8" t="s">
        <v>48</v>
      </c>
      <c r="L152" s="10">
        <f>B210+B156+B157+C201</f>
        <v>22.5</v>
      </c>
    </row>
    <row r="153" spans="1:9" s="13" customFormat="1" ht="30" customHeight="1">
      <c r="A153" s="81" t="s">
        <v>57</v>
      </c>
      <c r="B153" s="375">
        <f>B151*120/1000</f>
        <v>0.6</v>
      </c>
      <c r="C153" s="375">
        <f>C151*120/1000</f>
        <v>0.6</v>
      </c>
      <c r="D153" s="219"/>
      <c r="E153" s="63"/>
      <c r="F153" s="63"/>
      <c r="G153" s="63"/>
      <c r="H153" s="62"/>
      <c r="I153" s="443"/>
    </row>
    <row r="154" spans="1:13" s="13" customFormat="1" ht="30" customHeight="1">
      <c r="A154" s="264" t="s">
        <v>185</v>
      </c>
      <c r="B154" s="265">
        <f>B151-B152</f>
        <v>2.7</v>
      </c>
      <c r="C154" s="265">
        <f>C151-C152</f>
        <v>2.7</v>
      </c>
      <c r="D154" s="266"/>
      <c r="E154" s="267"/>
      <c r="F154" s="267"/>
      <c r="G154" s="267"/>
      <c r="H154" s="268"/>
      <c r="I154" s="447"/>
      <c r="M154" s="88"/>
    </row>
    <row r="155" spans="1:9" s="13" customFormat="1" ht="30" customHeight="1">
      <c r="A155" s="264" t="s">
        <v>186</v>
      </c>
      <c r="B155" s="269">
        <f>B151-B153</f>
        <v>4.4</v>
      </c>
      <c r="C155" s="269">
        <f>C151-C153</f>
        <v>4.4</v>
      </c>
      <c r="D155" s="266"/>
      <c r="E155" s="267"/>
      <c r="F155" s="267"/>
      <c r="G155" s="267"/>
      <c r="H155" s="268"/>
      <c r="I155" s="447"/>
    </row>
    <row r="156" spans="1:9" s="13" customFormat="1" ht="30" customHeight="1">
      <c r="A156" s="79" t="s">
        <v>109</v>
      </c>
      <c r="B156" s="51">
        <v>2</v>
      </c>
      <c r="C156" s="51">
        <v>2</v>
      </c>
      <c r="D156" s="41"/>
      <c r="E156" s="231"/>
      <c r="F156" s="231"/>
      <c r="G156" s="231"/>
      <c r="H156" s="232"/>
      <c r="I156" s="443"/>
    </row>
    <row r="157" spans="1:9" s="142" customFormat="1" ht="30" customHeight="1">
      <c r="A157" s="79" t="s">
        <v>113</v>
      </c>
      <c r="B157" s="55">
        <v>1.5</v>
      </c>
      <c r="C157" s="55">
        <v>1.5</v>
      </c>
      <c r="D157" s="41"/>
      <c r="E157" s="231"/>
      <c r="F157" s="231"/>
      <c r="G157" s="231"/>
      <c r="H157" s="232"/>
      <c r="I157" s="443"/>
    </row>
    <row r="158" spans="1:9" s="13" customFormat="1" ht="30" customHeight="1">
      <c r="A158" s="79" t="s">
        <v>58</v>
      </c>
      <c r="B158" s="51">
        <v>1</v>
      </c>
      <c r="C158" s="51">
        <v>1</v>
      </c>
      <c r="D158" s="41"/>
      <c r="E158" s="231"/>
      <c r="F158" s="231"/>
      <c r="G158" s="231"/>
      <c r="H158" s="232"/>
      <c r="I158" s="443"/>
    </row>
    <row r="159" spans="1:9" s="13" customFormat="1" ht="30" customHeight="1">
      <c r="A159" s="79" t="s">
        <v>71</v>
      </c>
      <c r="B159" s="55">
        <v>0.4</v>
      </c>
      <c r="C159" s="55">
        <v>0.4</v>
      </c>
      <c r="D159" s="41"/>
      <c r="E159" s="231"/>
      <c r="F159" s="231"/>
      <c r="G159" s="231"/>
      <c r="H159" s="232"/>
      <c r="I159" s="443"/>
    </row>
    <row r="160" spans="1:9" s="88" customFormat="1" ht="30" customHeight="1">
      <c r="A160" s="79" t="s">
        <v>175</v>
      </c>
      <c r="B160" s="254">
        <v>0.02</v>
      </c>
      <c r="C160" s="254">
        <v>0.02</v>
      </c>
      <c r="D160" s="41"/>
      <c r="E160" s="231"/>
      <c r="F160" s="231"/>
      <c r="G160" s="231"/>
      <c r="H160" s="232"/>
      <c r="I160" s="443"/>
    </row>
    <row r="161" spans="1:13" s="13" customFormat="1" ht="30" customHeight="1">
      <c r="A161" s="79" t="s">
        <v>196</v>
      </c>
      <c r="B161" s="55">
        <v>0.2</v>
      </c>
      <c r="C161" s="55">
        <v>0.2</v>
      </c>
      <c r="D161" s="41"/>
      <c r="E161" s="231"/>
      <c r="F161" s="231"/>
      <c r="G161" s="231"/>
      <c r="H161" s="232"/>
      <c r="I161" s="443"/>
      <c r="M161" s="88"/>
    </row>
    <row r="162" spans="1:9" s="88" customFormat="1" ht="30" customHeight="1">
      <c r="A162" s="494" t="s">
        <v>20</v>
      </c>
      <c r="B162" s="181">
        <v>20</v>
      </c>
      <c r="C162" s="181">
        <v>20</v>
      </c>
      <c r="D162" s="114">
        <v>20</v>
      </c>
      <c r="E162" s="121">
        <v>0.9</v>
      </c>
      <c r="F162" s="121">
        <v>0.2</v>
      </c>
      <c r="G162" s="121">
        <v>8.7</v>
      </c>
      <c r="H162" s="157">
        <v>40.5</v>
      </c>
      <c r="I162" s="444"/>
    </row>
    <row r="163" spans="1:13" s="88" customFormat="1" ht="30" customHeight="1">
      <c r="A163" s="504" t="s">
        <v>100</v>
      </c>
      <c r="B163" s="504"/>
      <c r="C163" s="504"/>
      <c r="D163" s="114">
        <v>20</v>
      </c>
      <c r="E163" s="144"/>
      <c r="F163" s="144"/>
      <c r="G163" s="144"/>
      <c r="H163" s="144"/>
      <c r="I163" s="443"/>
      <c r="M163" s="13"/>
    </row>
    <row r="164" spans="1:13" s="88" customFormat="1" ht="30" customHeight="1">
      <c r="A164" s="495" t="s">
        <v>27</v>
      </c>
      <c r="B164" s="122">
        <v>20</v>
      </c>
      <c r="C164" s="122">
        <v>20</v>
      </c>
      <c r="D164" s="29">
        <v>20</v>
      </c>
      <c r="E164" s="31">
        <v>0.7</v>
      </c>
      <c r="F164" s="31">
        <v>0.2</v>
      </c>
      <c r="G164" s="31">
        <v>9.4</v>
      </c>
      <c r="H164" s="35">
        <v>41.3</v>
      </c>
      <c r="I164" s="444"/>
      <c r="M164" s="13"/>
    </row>
    <row r="165" spans="1:9" s="88" customFormat="1" ht="30" customHeight="1">
      <c r="A165" s="507" t="s">
        <v>77</v>
      </c>
      <c r="B165" s="507"/>
      <c r="C165" s="507"/>
      <c r="D165" s="184">
        <f>D166+260+105+D214+D217</f>
        <v>845</v>
      </c>
      <c r="E165" s="59">
        <f>E166+E189+E204+E214+E217+E222+E224</f>
        <v>31.91</v>
      </c>
      <c r="F165" s="59">
        <f>F166+F189+F204+F214+F217+F222+F224</f>
        <v>30.995</v>
      </c>
      <c r="G165" s="59">
        <f>G166+G189+G204+G214+G217+G222+G224</f>
        <v>124.52</v>
      </c>
      <c r="H165" s="59">
        <f>H166+H189+H204+H214+H217+H222+H224</f>
        <v>902.175</v>
      </c>
      <c r="I165" s="449"/>
    </row>
    <row r="166" spans="1:9" s="88" customFormat="1" ht="30" customHeight="1">
      <c r="A166" s="509" t="s">
        <v>287</v>
      </c>
      <c r="B166" s="509"/>
      <c r="C166" s="509"/>
      <c r="D166" s="29">
        <v>100</v>
      </c>
      <c r="E166" s="63">
        <v>1.75</v>
      </c>
      <c r="F166" s="63">
        <v>5.124999999999999</v>
      </c>
      <c r="G166" s="63">
        <v>5.749999999999999</v>
      </c>
      <c r="H166" s="62">
        <f>G166*4+F166*9+E166*4</f>
        <v>76.12499999999999</v>
      </c>
      <c r="I166" s="304" t="s">
        <v>288</v>
      </c>
    </row>
    <row r="167" spans="1:9" s="13" customFormat="1" ht="30" customHeight="1">
      <c r="A167" s="72" t="s">
        <v>12</v>
      </c>
      <c r="B167" s="49">
        <f>C167*1.33</f>
        <v>26.6</v>
      </c>
      <c r="C167" s="49">
        <v>20</v>
      </c>
      <c r="D167" s="50"/>
      <c r="E167" s="144"/>
      <c r="F167" s="144"/>
      <c r="G167" s="144"/>
      <c r="H167" s="144"/>
      <c r="I167" s="443"/>
    </row>
    <row r="168" spans="1:9" s="13" customFormat="1" ht="30" customHeight="1">
      <c r="A168" s="72" t="s">
        <v>13</v>
      </c>
      <c r="B168" s="49">
        <f>C168*1.43</f>
        <v>28.599999999999998</v>
      </c>
      <c r="C168" s="49">
        <v>20</v>
      </c>
      <c r="D168" s="50"/>
      <c r="E168" s="144"/>
      <c r="F168" s="144"/>
      <c r="G168" s="144"/>
      <c r="H168" s="62"/>
      <c r="I168" s="443"/>
    </row>
    <row r="169" spans="1:10" s="13" customFormat="1" ht="30" customHeight="1">
      <c r="A169" s="75" t="s">
        <v>14</v>
      </c>
      <c r="B169" s="49">
        <f>C169*1.54</f>
        <v>30.8</v>
      </c>
      <c r="C169" s="49">
        <v>20</v>
      </c>
      <c r="D169" s="50"/>
      <c r="E169" s="144"/>
      <c r="F169" s="144"/>
      <c r="G169" s="144"/>
      <c r="H169" s="62"/>
      <c r="I169" s="443"/>
      <c r="J169" s="11"/>
    </row>
    <row r="170" spans="1:9" s="142" customFormat="1" ht="30" customHeight="1">
      <c r="A170" s="75" t="s">
        <v>15</v>
      </c>
      <c r="B170" s="49">
        <f>C170*1.67</f>
        <v>33.4</v>
      </c>
      <c r="C170" s="49">
        <v>20</v>
      </c>
      <c r="D170" s="50"/>
      <c r="E170" s="144"/>
      <c r="F170" s="144"/>
      <c r="G170" s="144"/>
      <c r="H170" s="62"/>
      <c r="I170" s="443"/>
    </row>
    <row r="171" spans="1:13" s="13" customFormat="1" ht="30" customHeight="1">
      <c r="A171" s="72" t="s">
        <v>17</v>
      </c>
      <c r="B171" s="49">
        <f>C171*1.25</f>
        <v>20</v>
      </c>
      <c r="C171" s="49">
        <v>16</v>
      </c>
      <c r="D171" s="50"/>
      <c r="E171" s="144"/>
      <c r="F171" s="144"/>
      <c r="G171" s="144"/>
      <c r="H171" s="62"/>
      <c r="I171" s="443"/>
      <c r="M171" s="88"/>
    </row>
    <row r="172" spans="1:13" s="13" customFormat="1" ht="30" customHeight="1">
      <c r="A172" s="72" t="s">
        <v>16</v>
      </c>
      <c r="B172" s="49">
        <f>C172*1.33</f>
        <v>21.28</v>
      </c>
      <c r="C172" s="49">
        <v>16</v>
      </c>
      <c r="D172" s="50"/>
      <c r="E172" s="144"/>
      <c r="F172" s="144"/>
      <c r="G172" s="144"/>
      <c r="H172" s="62"/>
      <c r="I172" s="443"/>
      <c r="M172" s="88"/>
    </row>
    <row r="173" spans="1:9" s="13" customFormat="1" ht="30" customHeight="1">
      <c r="A173" s="72" t="s">
        <v>81</v>
      </c>
      <c r="B173" s="54">
        <f>C173*1.25</f>
        <v>17.5</v>
      </c>
      <c r="C173" s="49">
        <v>14</v>
      </c>
      <c r="D173" s="50"/>
      <c r="E173" s="144"/>
      <c r="F173" s="144"/>
      <c r="G173" s="144"/>
      <c r="H173" s="185"/>
      <c r="I173" s="443"/>
    </row>
    <row r="174" spans="1:13" s="88" customFormat="1" ht="30" customHeight="1">
      <c r="A174" s="72" t="s">
        <v>16</v>
      </c>
      <c r="B174" s="49">
        <f>C174*1.33</f>
        <v>18.62</v>
      </c>
      <c r="C174" s="49">
        <v>14</v>
      </c>
      <c r="D174" s="50"/>
      <c r="E174" s="144"/>
      <c r="F174" s="144"/>
      <c r="G174" s="144"/>
      <c r="H174" s="185"/>
      <c r="I174" s="443"/>
      <c r="M174" s="13"/>
    </row>
    <row r="175" spans="1:9" s="13" customFormat="1" ht="30" customHeight="1">
      <c r="A175" s="72" t="s">
        <v>153</v>
      </c>
      <c r="B175" s="49">
        <f>C175*1.82</f>
        <v>29.12</v>
      </c>
      <c r="C175" s="49">
        <v>16</v>
      </c>
      <c r="D175" s="50"/>
      <c r="E175" s="144"/>
      <c r="F175" s="144"/>
      <c r="G175" s="144"/>
      <c r="H175" s="185"/>
      <c r="I175" s="443"/>
    </row>
    <row r="176" spans="1:9" s="13" customFormat="1" ht="30" customHeight="1">
      <c r="A176" s="72" t="s">
        <v>197</v>
      </c>
      <c r="B176" s="49">
        <f>C176*1.67</f>
        <v>58.449999999999996</v>
      </c>
      <c r="C176" s="49">
        <v>35</v>
      </c>
      <c r="D176" s="50"/>
      <c r="E176" s="144"/>
      <c r="F176" s="144"/>
      <c r="G176" s="144"/>
      <c r="H176" s="185"/>
      <c r="I176" s="443"/>
    </row>
    <row r="177" spans="1:9" s="13" customFormat="1" ht="30" customHeight="1">
      <c r="A177" s="75" t="s">
        <v>11</v>
      </c>
      <c r="B177" s="50">
        <v>5</v>
      </c>
      <c r="C177" s="50">
        <v>5</v>
      </c>
      <c r="D177" s="5"/>
      <c r="E177" s="144"/>
      <c r="F177" s="144"/>
      <c r="G177" s="144"/>
      <c r="H177" s="185"/>
      <c r="I177" s="443"/>
    </row>
    <row r="178" spans="1:9" s="13" customFormat="1" ht="30" customHeight="1">
      <c r="A178" s="508" t="s">
        <v>95</v>
      </c>
      <c r="B178" s="508"/>
      <c r="C178" s="508"/>
      <c r="D178" s="508"/>
      <c r="E178" s="508"/>
      <c r="F178" s="508"/>
      <c r="G178" s="508"/>
      <c r="H178" s="508"/>
      <c r="I178" s="508"/>
    </row>
    <row r="179" spans="1:9" s="13" customFormat="1" ht="30" customHeight="1">
      <c r="A179" s="509" t="s">
        <v>425</v>
      </c>
      <c r="B179" s="509"/>
      <c r="C179" s="509"/>
      <c r="D179" s="29">
        <v>100</v>
      </c>
      <c r="E179" s="63">
        <v>1.4</v>
      </c>
      <c r="F179" s="63">
        <v>5.2</v>
      </c>
      <c r="G179" s="63">
        <v>6</v>
      </c>
      <c r="H179" s="62">
        <f>G179*4+F179*9+E179*4</f>
        <v>76.4</v>
      </c>
      <c r="I179" s="304" t="s">
        <v>426</v>
      </c>
    </row>
    <row r="180" spans="1:9" s="13" customFormat="1" ht="30" customHeight="1">
      <c r="A180" s="80" t="s">
        <v>124</v>
      </c>
      <c r="B180" s="223">
        <f>C180*1.18</f>
        <v>29.5</v>
      </c>
      <c r="C180" s="223">
        <v>25</v>
      </c>
      <c r="D180" s="50"/>
      <c r="E180" s="144"/>
      <c r="F180" s="144"/>
      <c r="G180" s="144"/>
      <c r="H180" s="62"/>
      <c r="I180" s="445"/>
    </row>
    <row r="181" spans="1:9" s="13" customFormat="1" ht="30" customHeight="1">
      <c r="A181" s="80" t="s">
        <v>204</v>
      </c>
      <c r="B181" s="223">
        <f>C181*1.02</f>
        <v>25.5</v>
      </c>
      <c r="C181" s="223">
        <v>25</v>
      </c>
      <c r="D181" s="50"/>
      <c r="E181" s="144"/>
      <c r="F181" s="144"/>
      <c r="G181" s="144"/>
      <c r="H181" s="62"/>
      <c r="I181" s="445"/>
    </row>
    <row r="182" spans="1:9" s="13" customFormat="1" ht="30" customHeight="1">
      <c r="A182" s="80" t="s">
        <v>427</v>
      </c>
      <c r="B182" s="383">
        <f>C182*1.02</f>
        <v>23.46</v>
      </c>
      <c r="C182" s="223">
        <v>23</v>
      </c>
      <c r="D182" s="50"/>
      <c r="E182" s="144"/>
      <c r="F182" s="144"/>
      <c r="G182" s="144"/>
      <c r="H182" s="185"/>
      <c r="I182" s="445"/>
    </row>
    <row r="183" spans="1:12" s="88" customFormat="1" ht="30" customHeight="1">
      <c r="A183" s="80" t="s">
        <v>141</v>
      </c>
      <c r="B183" s="223">
        <f>C183*1.05</f>
        <v>24.150000000000002</v>
      </c>
      <c r="C183" s="223">
        <v>23</v>
      </c>
      <c r="D183" s="50"/>
      <c r="E183" s="144"/>
      <c r="F183" s="144"/>
      <c r="G183" s="144"/>
      <c r="H183" s="185"/>
      <c r="I183" s="445"/>
      <c r="K183" s="13"/>
      <c r="L183" s="13"/>
    </row>
    <row r="184" spans="1:12" s="88" customFormat="1" ht="30" customHeight="1">
      <c r="A184" s="412" t="s">
        <v>428</v>
      </c>
      <c r="B184" s="223">
        <f>C184*1.33</f>
        <v>15.96</v>
      </c>
      <c r="C184" s="223">
        <v>12</v>
      </c>
      <c r="D184" s="50"/>
      <c r="E184" s="144"/>
      <c r="F184" s="144"/>
      <c r="G184" s="144"/>
      <c r="H184" s="185"/>
      <c r="I184" s="445"/>
      <c r="K184" s="13"/>
      <c r="L184" s="13"/>
    </row>
    <row r="185" spans="1:9" s="88" customFormat="1" ht="30" customHeight="1">
      <c r="A185" s="80" t="s">
        <v>429</v>
      </c>
      <c r="B185" s="223">
        <f>C185*1.25</f>
        <v>43.75</v>
      </c>
      <c r="C185" s="223">
        <v>35</v>
      </c>
      <c r="D185" s="50"/>
      <c r="E185" s="144"/>
      <c r="F185" s="144"/>
      <c r="G185" s="144"/>
      <c r="H185" s="185"/>
      <c r="I185" s="445"/>
    </row>
    <row r="186" spans="1:12" s="11" customFormat="1" ht="30" customHeight="1">
      <c r="A186" s="80" t="s">
        <v>430</v>
      </c>
      <c r="B186" s="383">
        <v>0.9</v>
      </c>
      <c r="C186" s="383">
        <v>0.9</v>
      </c>
      <c r="D186" s="50"/>
      <c r="E186" s="144"/>
      <c r="F186" s="144"/>
      <c r="G186" s="144"/>
      <c r="H186" s="185"/>
      <c r="I186" s="445"/>
      <c r="J186" s="13"/>
      <c r="K186" s="88"/>
      <c r="L186" s="88"/>
    </row>
    <row r="187" spans="1:12" s="13" customFormat="1" ht="30" customHeight="1">
      <c r="A187" s="80" t="s">
        <v>4</v>
      </c>
      <c r="B187" s="223">
        <v>1</v>
      </c>
      <c r="C187" s="223">
        <v>1</v>
      </c>
      <c r="D187" s="50"/>
      <c r="E187" s="144"/>
      <c r="F187" s="144"/>
      <c r="G187" s="144"/>
      <c r="H187" s="185"/>
      <c r="I187" s="445"/>
      <c r="K187" s="88"/>
      <c r="L187" s="88"/>
    </row>
    <row r="188" spans="1:12" s="88" customFormat="1" ht="30" customHeight="1">
      <c r="A188" s="79" t="s">
        <v>11</v>
      </c>
      <c r="B188" s="83">
        <v>5</v>
      </c>
      <c r="C188" s="83">
        <v>5</v>
      </c>
      <c r="D188" s="5"/>
      <c r="E188" s="144"/>
      <c r="F188" s="144"/>
      <c r="G188" s="144"/>
      <c r="H188" s="185"/>
      <c r="I188" s="445"/>
      <c r="K188" s="13"/>
      <c r="L188" s="13"/>
    </row>
    <row r="189" spans="1:12" s="88" customFormat="1" ht="30" customHeight="1">
      <c r="A189" s="533" t="s">
        <v>431</v>
      </c>
      <c r="B189" s="533"/>
      <c r="C189" s="533"/>
      <c r="D189" s="27" t="s">
        <v>86</v>
      </c>
      <c r="E189" s="63">
        <v>6.9</v>
      </c>
      <c r="F189" s="63">
        <v>4.8</v>
      </c>
      <c r="G189" s="63">
        <v>8.3</v>
      </c>
      <c r="H189" s="62">
        <f>G189*4+F189*9+E189*4</f>
        <v>104</v>
      </c>
      <c r="I189" s="221" t="s">
        <v>432</v>
      </c>
      <c r="K189" s="13"/>
      <c r="L189" s="13"/>
    </row>
    <row r="190" spans="1:12" s="88" customFormat="1" ht="30" customHeight="1">
      <c r="A190" s="78" t="s">
        <v>136</v>
      </c>
      <c r="B190" s="381">
        <v>29</v>
      </c>
      <c r="C190" s="223">
        <v>26</v>
      </c>
      <c r="D190" s="5"/>
      <c r="E190" s="54"/>
      <c r="F190" s="54"/>
      <c r="G190" s="54"/>
      <c r="H190" s="54"/>
      <c r="I190" s="460"/>
      <c r="K190" s="23"/>
      <c r="L190" s="23"/>
    </row>
    <row r="191" spans="1:11" s="13" customFormat="1" ht="30" customHeight="1">
      <c r="A191" s="164" t="s">
        <v>158</v>
      </c>
      <c r="B191" s="413">
        <f>C191*1.04</f>
        <v>18.72</v>
      </c>
      <c r="C191" s="223">
        <v>18</v>
      </c>
      <c r="D191" s="235"/>
      <c r="E191" s="227"/>
      <c r="F191" s="144"/>
      <c r="G191" s="144"/>
      <c r="H191" s="228"/>
      <c r="I191" s="461"/>
      <c r="K191" s="189" t="s">
        <v>61</v>
      </c>
    </row>
    <row r="192" spans="1:12" s="13" customFormat="1" ht="30" customHeight="1">
      <c r="A192" s="164" t="s">
        <v>160</v>
      </c>
      <c r="B192" s="413">
        <f>C192*1.048</f>
        <v>14.672</v>
      </c>
      <c r="C192" s="223">
        <v>14</v>
      </c>
      <c r="D192" s="235"/>
      <c r="E192" s="144"/>
      <c r="F192" s="144"/>
      <c r="G192" s="144"/>
      <c r="H192" s="144"/>
      <c r="I192" s="445"/>
      <c r="K192" s="6" t="s">
        <v>27</v>
      </c>
      <c r="L192" s="13">
        <f>D308</f>
        <v>50</v>
      </c>
    </row>
    <row r="193" spans="1:12" s="13" customFormat="1" ht="30" customHeight="1">
      <c r="A193" s="77" t="s">
        <v>12</v>
      </c>
      <c r="B193" s="414">
        <f>C193*1.33</f>
        <v>50.540000000000006</v>
      </c>
      <c r="C193" s="278">
        <v>38</v>
      </c>
      <c r="D193" s="33"/>
      <c r="E193" s="85"/>
      <c r="F193" s="85"/>
      <c r="G193" s="85"/>
      <c r="H193" s="30"/>
      <c r="I193" s="462"/>
      <c r="K193" s="7" t="s">
        <v>28</v>
      </c>
      <c r="L193" s="13">
        <f>D306+B232</f>
        <v>100</v>
      </c>
    </row>
    <row r="194" spans="1:12" s="13" customFormat="1" ht="30" customHeight="1">
      <c r="A194" s="77" t="s">
        <v>13</v>
      </c>
      <c r="B194" s="414">
        <f>C194*1.43</f>
        <v>54.339999999999996</v>
      </c>
      <c r="C194" s="278">
        <v>38</v>
      </c>
      <c r="D194" s="33"/>
      <c r="E194" s="85"/>
      <c r="F194" s="85"/>
      <c r="G194" s="85"/>
      <c r="H194" s="30"/>
      <c r="I194" s="462"/>
      <c r="K194" s="8" t="s">
        <v>29</v>
      </c>
      <c r="L194" s="89">
        <f>C288+C239</f>
        <v>23.136363636363637</v>
      </c>
    </row>
    <row r="195" spans="1:12" s="13" customFormat="1" ht="30" customHeight="1">
      <c r="A195" s="77" t="s">
        <v>14</v>
      </c>
      <c r="B195" s="414">
        <f>C195*1.54</f>
        <v>58.52</v>
      </c>
      <c r="C195" s="278">
        <v>38</v>
      </c>
      <c r="D195" s="33"/>
      <c r="E195" s="85"/>
      <c r="F195" s="85"/>
      <c r="G195" s="85"/>
      <c r="H195" s="30"/>
      <c r="I195" s="462"/>
      <c r="K195" s="212" t="s">
        <v>53</v>
      </c>
      <c r="L195" s="200">
        <f>C275</f>
        <v>5</v>
      </c>
    </row>
    <row r="196" spans="1:12" s="13" customFormat="1" ht="30" customHeight="1">
      <c r="A196" s="79" t="s">
        <v>15</v>
      </c>
      <c r="B196" s="414">
        <f>C196*1.67</f>
        <v>63.459999999999994</v>
      </c>
      <c r="C196" s="278">
        <v>38</v>
      </c>
      <c r="D196" s="33"/>
      <c r="E196" s="85"/>
      <c r="F196" s="85"/>
      <c r="G196" s="85"/>
      <c r="H196" s="30"/>
      <c r="I196" s="462"/>
      <c r="K196" s="9" t="s">
        <v>87</v>
      </c>
      <c r="L196" s="24"/>
    </row>
    <row r="197" spans="1:12" s="13" customFormat="1" ht="30" customHeight="1">
      <c r="A197" s="77" t="s">
        <v>184</v>
      </c>
      <c r="B197" s="414">
        <v>3</v>
      </c>
      <c r="C197" s="278">
        <v>3</v>
      </c>
      <c r="D197" s="33"/>
      <c r="E197" s="85"/>
      <c r="F197" s="85"/>
      <c r="G197" s="85"/>
      <c r="H197" s="30"/>
      <c r="I197" s="462"/>
      <c r="K197" s="8" t="s">
        <v>30</v>
      </c>
      <c r="L197" s="24">
        <f>C271+C292</f>
        <v>228</v>
      </c>
    </row>
    <row r="198" spans="1:12" s="142" customFormat="1" ht="30" customHeight="1">
      <c r="A198" s="412" t="s">
        <v>18</v>
      </c>
      <c r="B198" s="278">
        <f>C198*1.19</f>
        <v>11.899999999999999</v>
      </c>
      <c r="C198" s="415">
        <v>10</v>
      </c>
      <c r="D198" s="42"/>
      <c r="E198" s="192"/>
      <c r="F198" s="192"/>
      <c r="G198" s="192"/>
      <c r="H198" s="193"/>
      <c r="I198" s="463"/>
      <c r="K198" s="7" t="s">
        <v>31</v>
      </c>
      <c r="L198" s="24">
        <f>+C255++C277+C276+C279+C282++C256</f>
        <v>124.2</v>
      </c>
    </row>
    <row r="199" spans="1:12" s="13" customFormat="1" ht="30" customHeight="1">
      <c r="A199" s="80" t="s">
        <v>81</v>
      </c>
      <c r="B199" s="416">
        <f>C199*1.25</f>
        <v>12.5</v>
      </c>
      <c r="C199" s="415">
        <v>10</v>
      </c>
      <c r="D199" s="42"/>
      <c r="E199" s="192"/>
      <c r="F199" s="192"/>
      <c r="G199" s="192"/>
      <c r="H199" s="193"/>
      <c r="I199" s="463"/>
      <c r="K199" s="7" t="s">
        <v>32</v>
      </c>
      <c r="L199" s="13">
        <f>+C251+C303</f>
        <v>31</v>
      </c>
    </row>
    <row r="200" spans="1:12" s="172" customFormat="1" ht="30" customHeight="1">
      <c r="A200" s="412" t="s">
        <v>16</v>
      </c>
      <c r="B200" s="416">
        <f>C200*1.33</f>
        <v>13.3</v>
      </c>
      <c r="C200" s="415">
        <v>10</v>
      </c>
      <c r="D200" s="42"/>
      <c r="E200" s="192"/>
      <c r="F200" s="192"/>
      <c r="G200" s="192"/>
      <c r="H200" s="193"/>
      <c r="I200" s="463"/>
      <c r="K200" s="8" t="s">
        <v>33</v>
      </c>
      <c r="L200" s="88"/>
    </row>
    <row r="201" spans="1:12" s="88" customFormat="1" ht="30" customHeight="1">
      <c r="A201" s="412" t="s">
        <v>109</v>
      </c>
      <c r="B201" s="415">
        <v>15</v>
      </c>
      <c r="C201" s="415">
        <v>15</v>
      </c>
      <c r="D201" s="42"/>
      <c r="E201" s="192"/>
      <c r="F201" s="192"/>
      <c r="G201" s="192"/>
      <c r="H201" s="193"/>
      <c r="I201" s="463"/>
      <c r="K201" s="8" t="s">
        <v>34</v>
      </c>
      <c r="L201" s="89">
        <f>C238+B250+C304+C259</f>
        <v>47.13636363636364</v>
      </c>
    </row>
    <row r="202" spans="1:12" s="13" customFormat="1" ht="30" customHeight="1">
      <c r="A202" s="197" t="s">
        <v>19</v>
      </c>
      <c r="B202" s="414">
        <v>5</v>
      </c>
      <c r="C202" s="414">
        <v>5</v>
      </c>
      <c r="D202" s="167"/>
      <c r="E202" s="194"/>
      <c r="F202" s="194"/>
      <c r="G202" s="194"/>
      <c r="H202" s="202"/>
      <c r="I202" s="464"/>
      <c r="K202" s="8" t="s">
        <v>35</v>
      </c>
      <c r="L202" s="88"/>
    </row>
    <row r="203" spans="1:12" s="88" customFormat="1" ht="30" customHeight="1">
      <c r="A203" s="77" t="s">
        <v>97</v>
      </c>
      <c r="B203" s="416">
        <v>0.2</v>
      </c>
      <c r="C203" s="416">
        <v>0.2</v>
      </c>
      <c r="D203" s="42"/>
      <c r="E203" s="192"/>
      <c r="F203" s="192"/>
      <c r="G203" s="192"/>
      <c r="H203" s="193"/>
      <c r="I203" s="463"/>
      <c r="K203" s="8" t="s">
        <v>36</v>
      </c>
      <c r="L203" s="13"/>
    </row>
    <row r="204" spans="1:12" s="88" customFormat="1" ht="30" customHeight="1">
      <c r="A204" s="518" t="s">
        <v>289</v>
      </c>
      <c r="B204" s="518"/>
      <c r="C204" s="518"/>
      <c r="D204" s="27" t="s">
        <v>49</v>
      </c>
      <c r="E204" s="63">
        <v>14.8</v>
      </c>
      <c r="F204" s="63">
        <v>13.9</v>
      </c>
      <c r="G204" s="63">
        <v>12</v>
      </c>
      <c r="H204" s="62">
        <f>G204*4+F204*9+E204*4</f>
        <v>232.3</v>
      </c>
      <c r="I204" s="303" t="s">
        <v>290</v>
      </c>
      <c r="K204" s="8" t="s">
        <v>82</v>
      </c>
      <c r="L204" s="13"/>
    </row>
    <row r="205" spans="1:11" s="88" customFormat="1" ht="30" customHeight="1">
      <c r="A205" s="73" t="s">
        <v>111</v>
      </c>
      <c r="B205" s="38">
        <f>C205*1.36</f>
        <v>100.64</v>
      </c>
      <c r="C205" s="5">
        <v>74</v>
      </c>
      <c r="D205" s="50"/>
      <c r="E205" s="144"/>
      <c r="F205" s="144"/>
      <c r="G205" s="144"/>
      <c r="H205" s="144"/>
      <c r="I205" s="443"/>
      <c r="K205" s="8" t="s">
        <v>54</v>
      </c>
    </row>
    <row r="206" spans="1:11" s="88" customFormat="1" ht="30" customHeight="1">
      <c r="A206" s="73" t="s">
        <v>112</v>
      </c>
      <c r="B206" s="38">
        <f>C206*1.18</f>
        <v>87.32</v>
      </c>
      <c r="C206" s="5">
        <f>C205</f>
        <v>74</v>
      </c>
      <c r="D206" s="242"/>
      <c r="E206" s="43"/>
      <c r="F206" s="43"/>
      <c r="G206" s="43"/>
      <c r="H206" s="160"/>
      <c r="I206" s="449"/>
      <c r="K206" s="88" t="s">
        <v>257</v>
      </c>
    </row>
    <row r="207" spans="1:12" s="88" customFormat="1" ht="30" customHeight="1">
      <c r="A207" s="72" t="s">
        <v>10</v>
      </c>
      <c r="B207" s="5">
        <v>18</v>
      </c>
      <c r="C207" s="5">
        <v>18</v>
      </c>
      <c r="D207" s="158"/>
      <c r="E207" s="378"/>
      <c r="F207" s="378"/>
      <c r="G207" s="378"/>
      <c r="H207" s="378"/>
      <c r="I207" s="444"/>
      <c r="K207" s="8" t="s">
        <v>37</v>
      </c>
      <c r="L207" s="88">
        <f>C249</f>
        <v>2</v>
      </c>
    </row>
    <row r="208" spans="1:12" s="88" customFormat="1" ht="30" customHeight="1">
      <c r="A208" s="124" t="s">
        <v>293</v>
      </c>
      <c r="B208" s="122">
        <v>12</v>
      </c>
      <c r="C208" s="122">
        <v>12</v>
      </c>
      <c r="D208" s="493"/>
      <c r="E208" s="378"/>
      <c r="F208" s="144"/>
      <c r="G208" s="144"/>
      <c r="H208" s="185"/>
      <c r="I208" s="443"/>
      <c r="K208" s="7" t="s">
        <v>38</v>
      </c>
      <c r="L208" s="24">
        <f>C269</f>
        <v>16</v>
      </c>
    </row>
    <row r="209" spans="1:12" s="88" customFormat="1" ht="30" customHeight="1">
      <c r="A209" s="75" t="s">
        <v>18</v>
      </c>
      <c r="B209" s="51">
        <f>C209*1.19</f>
        <v>9.52</v>
      </c>
      <c r="C209" s="50">
        <v>8</v>
      </c>
      <c r="D209" s="158"/>
      <c r="E209" s="378"/>
      <c r="F209" s="144"/>
      <c r="G209" s="144"/>
      <c r="H209" s="185"/>
      <c r="I209" s="443"/>
      <c r="K209" s="60" t="s">
        <v>39</v>
      </c>
      <c r="L209" s="142"/>
    </row>
    <row r="210" spans="1:12" s="88" customFormat="1" ht="30" customHeight="1">
      <c r="A210" s="80" t="s">
        <v>109</v>
      </c>
      <c r="B210" s="233">
        <v>4</v>
      </c>
      <c r="C210" s="233">
        <v>4</v>
      </c>
      <c r="D210" s="252"/>
      <c r="E210" s="55"/>
      <c r="F210" s="55"/>
      <c r="G210" s="55"/>
      <c r="H210" s="51"/>
      <c r="I210" s="465"/>
      <c r="K210" s="7" t="s">
        <v>40</v>
      </c>
      <c r="L210" s="11"/>
    </row>
    <row r="211" spans="1:12" s="13" customFormat="1" ht="30" customHeight="1">
      <c r="A211" s="80" t="s">
        <v>202</v>
      </c>
      <c r="B211" s="233">
        <v>10</v>
      </c>
      <c r="C211" s="233">
        <v>10</v>
      </c>
      <c r="D211" s="252"/>
      <c r="E211" s="55"/>
      <c r="F211" s="55"/>
      <c r="G211" s="55"/>
      <c r="H211" s="51"/>
      <c r="I211" s="465"/>
      <c r="K211" s="7" t="s">
        <v>41</v>
      </c>
      <c r="L211" s="24">
        <f>C285</f>
        <v>143</v>
      </c>
    </row>
    <row r="212" spans="1:12" s="13" customFormat="1" ht="30" customHeight="1">
      <c r="A212" s="75" t="s">
        <v>11</v>
      </c>
      <c r="B212" s="5">
        <v>2</v>
      </c>
      <c r="C212" s="5">
        <v>2</v>
      </c>
      <c r="D212" s="158"/>
      <c r="E212" s="378"/>
      <c r="F212" s="144"/>
      <c r="G212" s="144"/>
      <c r="H212" s="185"/>
      <c r="I212" s="443"/>
      <c r="K212" s="8" t="s">
        <v>42</v>
      </c>
      <c r="L212" s="89">
        <f>C296+B240+C247+D252</f>
        <v>208.5</v>
      </c>
    </row>
    <row r="213" spans="1:12" s="88" customFormat="1" ht="30" customHeight="1">
      <c r="A213" s="124" t="s">
        <v>55</v>
      </c>
      <c r="B213" s="122">
        <v>5</v>
      </c>
      <c r="C213" s="122">
        <v>5</v>
      </c>
      <c r="D213" s="493"/>
      <c r="E213" s="144"/>
      <c r="F213" s="144"/>
      <c r="G213" s="144"/>
      <c r="H213" s="185"/>
      <c r="I213" s="443"/>
      <c r="K213" s="8" t="s">
        <v>106</v>
      </c>
      <c r="L213" s="88">
        <f>D252</f>
        <v>125</v>
      </c>
    </row>
    <row r="214" spans="1:12" s="88" customFormat="1" ht="30" customHeight="1">
      <c r="A214" s="514" t="s">
        <v>298</v>
      </c>
      <c r="B214" s="514"/>
      <c r="C214" s="514"/>
      <c r="D214" s="53">
        <v>180</v>
      </c>
      <c r="E214" s="127">
        <v>4.86</v>
      </c>
      <c r="F214" s="127">
        <v>6.57</v>
      </c>
      <c r="G214" s="127">
        <v>39.87</v>
      </c>
      <c r="H214" s="35">
        <v>238.05</v>
      </c>
      <c r="I214" s="444" t="s">
        <v>299</v>
      </c>
      <c r="K214" s="8" t="s">
        <v>43</v>
      </c>
      <c r="L214" s="89">
        <f>C235</f>
        <v>122.86363636363636</v>
      </c>
    </row>
    <row r="215" spans="1:12" s="13" customFormat="1" ht="30" customHeight="1">
      <c r="A215" s="74" t="s">
        <v>188</v>
      </c>
      <c r="B215" s="30">
        <v>65</v>
      </c>
      <c r="C215" s="30">
        <v>65</v>
      </c>
      <c r="D215" s="379"/>
      <c r="E215" s="380"/>
      <c r="F215" s="380"/>
      <c r="G215" s="380"/>
      <c r="H215" s="380"/>
      <c r="I215" s="466"/>
      <c r="K215" s="7" t="s">
        <v>44</v>
      </c>
      <c r="L215" s="24">
        <f>C281+B236</f>
        <v>21.227272727272727</v>
      </c>
    </row>
    <row r="216" spans="1:11" s="13" customFormat="1" ht="30" customHeight="1">
      <c r="A216" s="196" t="s">
        <v>19</v>
      </c>
      <c r="B216" s="181">
        <v>6</v>
      </c>
      <c r="C216" s="181">
        <v>6</v>
      </c>
      <c r="D216" s="201"/>
      <c r="E216" s="149"/>
      <c r="F216" s="149"/>
      <c r="G216" s="149"/>
      <c r="H216" s="149"/>
      <c r="I216" s="452"/>
      <c r="K216" s="7" t="s">
        <v>45</v>
      </c>
    </row>
    <row r="217" spans="1:12" s="13" customFormat="1" ht="30" customHeight="1">
      <c r="A217" s="276" t="s">
        <v>203</v>
      </c>
      <c r="B217" s="61">
        <v>200</v>
      </c>
      <c r="C217" s="61">
        <v>200</v>
      </c>
      <c r="D217" s="61">
        <v>200</v>
      </c>
      <c r="E217" s="63">
        <v>0.4</v>
      </c>
      <c r="F217" s="63">
        <v>0</v>
      </c>
      <c r="G217" s="63">
        <v>22</v>
      </c>
      <c r="H217" s="62">
        <f>G217*4+F217*9+E217*4</f>
        <v>89.6</v>
      </c>
      <c r="I217" s="444" t="s">
        <v>276</v>
      </c>
      <c r="K217" s="8" t="s">
        <v>46</v>
      </c>
      <c r="L217" s="24">
        <f>C301+C290+C280+C245+C233</f>
        <v>30.636363636363637</v>
      </c>
    </row>
    <row r="218" spans="1:12" s="88" customFormat="1" ht="30" customHeight="1">
      <c r="A218" s="508" t="s">
        <v>95</v>
      </c>
      <c r="B218" s="508"/>
      <c r="C218" s="508"/>
      <c r="D218" s="508"/>
      <c r="E218" s="508"/>
      <c r="F218" s="508"/>
      <c r="G218" s="508"/>
      <c r="H218" s="508"/>
      <c r="I218" s="508"/>
      <c r="K218" s="8" t="s">
        <v>47</v>
      </c>
      <c r="L218" s="24">
        <f>C262+C289</f>
        <v>11</v>
      </c>
    </row>
    <row r="219" spans="1:12" s="88" customFormat="1" ht="30" customHeight="1">
      <c r="A219" s="538" t="s">
        <v>291</v>
      </c>
      <c r="B219" s="538"/>
      <c r="C219" s="538"/>
      <c r="D219" s="36">
        <v>200</v>
      </c>
      <c r="E219" s="37">
        <v>1</v>
      </c>
      <c r="F219" s="37">
        <v>0</v>
      </c>
      <c r="G219" s="37">
        <v>22.1</v>
      </c>
      <c r="H219" s="62">
        <f>G219*4+F219*9+E219*4</f>
        <v>92.4</v>
      </c>
      <c r="I219" s="444" t="s">
        <v>292</v>
      </c>
      <c r="K219" s="8" t="s">
        <v>48</v>
      </c>
      <c r="L219" s="24">
        <f>B237</f>
        <v>8.5</v>
      </c>
    </row>
    <row r="220" spans="1:12" s="88" customFormat="1" ht="30" customHeight="1">
      <c r="A220" s="75" t="s">
        <v>206</v>
      </c>
      <c r="B220" s="50">
        <v>20</v>
      </c>
      <c r="C220" s="50">
        <v>20</v>
      </c>
      <c r="D220" s="50"/>
      <c r="E220" s="55"/>
      <c r="F220" s="55"/>
      <c r="G220" s="55"/>
      <c r="H220" s="55"/>
      <c r="I220" s="465"/>
      <c r="K220" s="88" t="s">
        <v>436</v>
      </c>
      <c r="L220" s="88">
        <f>C305</f>
        <v>6</v>
      </c>
    </row>
    <row r="221" spans="1:9" s="88" customFormat="1" ht="30" customHeight="1">
      <c r="A221" s="75" t="s">
        <v>4</v>
      </c>
      <c r="B221" s="50">
        <v>10</v>
      </c>
      <c r="C221" s="50">
        <v>10</v>
      </c>
      <c r="D221" s="50"/>
      <c r="E221" s="55"/>
      <c r="F221" s="55"/>
      <c r="G221" s="55"/>
      <c r="H221" s="55"/>
      <c r="I221" s="465"/>
    </row>
    <row r="222" spans="1:9" s="88" customFormat="1" ht="30" customHeight="1">
      <c r="A222" s="494" t="s">
        <v>20</v>
      </c>
      <c r="B222" s="181">
        <v>30</v>
      </c>
      <c r="C222" s="181">
        <v>30</v>
      </c>
      <c r="D222" s="114">
        <v>30</v>
      </c>
      <c r="E222" s="121">
        <v>1.4</v>
      </c>
      <c r="F222" s="121">
        <v>0.3</v>
      </c>
      <c r="G222" s="121">
        <v>13.1</v>
      </c>
      <c r="H222" s="157">
        <v>60.8</v>
      </c>
      <c r="I222" s="444"/>
    </row>
    <row r="223" spans="1:9" s="88" customFormat="1" ht="30" customHeight="1">
      <c r="A223" s="504" t="s">
        <v>100</v>
      </c>
      <c r="B223" s="504"/>
      <c r="C223" s="504"/>
      <c r="D223" s="114">
        <v>30</v>
      </c>
      <c r="E223" s="144"/>
      <c r="F223" s="144"/>
      <c r="G223" s="144"/>
      <c r="H223" s="144"/>
      <c r="I223" s="443"/>
    </row>
    <row r="224" spans="1:9" s="142" customFormat="1" ht="30" customHeight="1">
      <c r="A224" s="495" t="s">
        <v>27</v>
      </c>
      <c r="B224" s="122">
        <v>50</v>
      </c>
      <c r="C224" s="122">
        <v>50</v>
      </c>
      <c r="D224" s="61">
        <v>50</v>
      </c>
      <c r="E224" s="63">
        <v>1.8</v>
      </c>
      <c r="F224" s="63">
        <v>0.3</v>
      </c>
      <c r="G224" s="63">
        <v>23.5</v>
      </c>
      <c r="H224" s="62">
        <v>101.30000000000001</v>
      </c>
      <c r="I224" s="444"/>
    </row>
    <row r="225" spans="1:12" s="13" customFormat="1" ht="30" customHeight="1">
      <c r="A225" s="505" t="s">
        <v>24</v>
      </c>
      <c r="B225" s="505"/>
      <c r="C225" s="505"/>
      <c r="D225" s="505"/>
      <c r="E225" s="153">
        <f>++E165+E116</f>
        <v>51.01</v>
      </c>
      <c r="F225" s="153">
        <f>++F165+F116</f>
        <v>50.795</v>
      </c>
      <c r="G225" s="153">
        <f>++G165+G116</f>
        <v>216.82</v>
      </c>
      <c r="H225" s="153">
        <f>++H165+H116</f>
        <v>1529.975</v>
      </c>
      <c r="I225" s="467"/>
      <c r="K225" s="88"/>
      <c r="L225" s="88"/>
    </row>
    <row r="226" spans="1:9" s="13" customFormat="1" ht="30" customHeight="1">
      <c r="A226" s="537" t="s">
        <v>92</v>
      </c>
      <c r="B226" s="537"/>
      <c r="C226" s="537"/>
      <c r="D226" s="537"/>
      <c r="E226" s="537"/>
      <c r="F226" s="537"/>
      <c r="G226" s="537"/>
      <c r="H226" s="537"/>
      <c r="I226" s="537"/>
    </row>
    <row r="227" spans="1:9" s="13" customFormat="1" ht="30" customHeight="1">
      <c r="A227" s="515" t="s">
        <v>0</v>
      </c>
      <c r="B227" s="517" t="s">
        <v>6</v>
      </c>
      <c r="C227" s="517" t="s">
        <v>7</v>
      </c>
      <c r="D227" s="515" t="s">
        <v>5</v>
      </c>
      <c r="E227" s="515"/>
      <c r="F227" s="515"/>
      <c r="G227" s="515"/>
      <c r="H227" s="515"/>
      <c r="I227" s="515"/>
    </row>
    <row r="228" spans="1:9" s="13" customFormat="1" ht="30" customHeight="1">
      <c r="A228" s="515"/>
      <c r="B228" s="517"/>
      <c r="C228" s="517"/>
      <c r="D228" s="517" t="s">
        <v>8</v>
      </c>
      <c r="E228" s="519" t="s">
        <v>1</v>
      </c>
      <c r="F228" s="519" t="s">
        <v>2</v>
      </c>
      <c r="G228" s="519" t="s">
        <v>9</v>
      </c>
      <c r="H228" s="532" t="s">
        <v>3</v>
      </c>
      <c r="I228" s="513" t="s">
        <v>245</v>
      </c>
    </row>
    <row r="229" spans="1:9" s="13" customFormat="1" ht="30" customHeight="1">
      <c r="A229" s="515"/>
      <c r="B229" s="517"/>
      <c r="C229" s="517"/>
      <c r="D229" s="517"/>
      <c r="E229" s="519"/>
      <c r="F229" s="519"/>
      <c r="G229" s="519"/>
      <c r="H229" s="532"/>
      <c r="I229" s="513"/>
    </row>
    <row r="230" spans="1:9" s="88" customFormat="1" ht="30" customHeight="1">
      <c r="A230" s="507" t="s">
        <v>132</v>
      </c>
      <c r="B230" s="507"/>
      <c r="C230" s="507"/>
      <c r="D230" s="184">
        <f>40+D234+207+D252</f>
        <v>572</v>
      </c>
      <c r="E230" s="133">
        <f>E231+E234+E248+E252</f>
        <v>26.900000000000002</v>
      </c>
      <c r="F230" s="133">
        <f>F231+F234+F248+F252</f>
        <v>31.800000000000004</v>
      </c>
      <c r="G230" s="133">
        <f>G231+G234+G248+G252</f>
        <v>57.99999999999999</v>
      </c>
      <c r="H230" s="133">
        <f>H231+H234+H248+H252</f>
        <v>625.8</v>
      </c>
      <c r="I230" s="451"/>
    </row>
    <row r="231" spans="1:9" s="13" customFormat="1" ht="30" customHeight="1">
      <c r="A231" s="504" t="s">
        <v>302</v>
      </c>
      <c r="B231" s="504"/>
      <c r="C231" s="504"/>
      <c r="D231" s="220" t="s">
        <v>198</v>
      </c>
      <c r="E231" s="63">
        <v>1.6</v>
      </c>
      <c r="F231" s="63">
        <v>7.4</v>
      </c>
      <c r="G231" s="63">
        <v>13.2</v>
      </c>
      <c r="H231" s="62">
        <f>G231*4+F231*9+E231*4</f>
        <v>125.80000000000001</v>
      </c>
      <c r="I231" s="444" t="s">
        <v>303</v>
      </c>
    </row>
    <row r="232" spans="1:9" s="13" customFormat="1" ht="30" customHeight="1">
      <c r="A232" s="75" t="s">
        <v>164</v>
      </c>
      <c r="B232" s="50">
        <v>30</v>
      </c>
      <c r="C232" s="50">
        <v>30</v>
      </c>
      <c r="D232" s="50"/>
      <c r="E232" s="144"/>
      <c r="F232" s="144"/>
      <c r="G232" s="221"/>
      <c r="H232" s="222"/>
      <c r="I232" s="443"/>
    </row>
    <row r="233" spans="1:9" s="13" customFormat="1" ht="30" customHeight="1">
      <c r="A233" s="75" t="s">
        <v>19</v>
      </c>
      <c r="B233" s="50">
        <v>10</v>
      </c>
      <c r="C233" s="50">
        <v>10</v>
      </c>
      <c r="D233" s="50"/>
      <c r="E233" s="144"/>
      <c r="F233" s="144"/>
      <c r="G233" s="144"/>
      <c r="H233" s="185"/>
      <c r="I233" s="443"/>
    </row>
    <row r="234" spans="1:9" s="13" customFormat="1" ht="30" customHeight="1">
      <c r="A234" s="504" t="s">
        <v>300</v>
      </c>
      <c r="B234" s="504"/>
      <c r="C234" s="504"/>
      <c r="D234" s="29">
        <v>200</v>
      </c>
      <c r="E234" s="31">
        <v>22.5</v>
      </c>
      <c r="F234" s="31">
        <v>21.3</v>
      </c>
      <c r="G234" s="31">
        <v>25.2</v>
      </c>
      <c r="H234" s="62">
        <f>G234*4+F234*9+E234*4</f>
        <v>382.5</v>
      </c>
      <c r="I234" s="444" t="s">
        <v>301</v>
      </c>
    </row>
    <row r="235" spans="1:9" s="13" customFormat="1" ht="30" customHeight="1">
      <c r="A235" s="124" t="s">
        <v>25</v>
      </c>
      <c r="B235" s="185">
        <v>123.63636363636364</v>
      </c>
      <c r="C235" s="185">
        <v>122.86363636363636</v>
      </c>
      <c r="D235" s="198"/>
      <c r="E235" s="31"/>
      <c r="F235" s="31"/>
      <c r="G235" s="31"/>
      <c r="H235" s="62"/>
      <c r="I235" s="369"/>
    </row>
    <row r="236" spans="1:9" s="88" customFormat="1" ht="30" customHeight="1">
      <c r="A236" s="124" t="s">
        <v>76</v>
      </c>
      <c r="B236" s="185">
        <v>16.227272727272727</v>
      </c>
      <c r="C236" s="185">
        <v>16.227272727272727</v>
      </c>
      <c r="D236" s="198"/>
      <c r="E236" s="31"/>
      <c r="F236" s="31"/>
      <c r="G236" s="31"/>
      <c r="H236" s="122"/>
      <c r="I236" s="369"/>
    </row>
    <row r="237" spans="1:9" s="88" customFormat="1" ht="30" customHeight="1">
      <c r="A237" s="80" t="s">
        <v>109</v>
      </c>
      <c r="B237" s="51">
        <v>8.5</v>
      </c>
      <c r="C237" s="51">
        <v>8.5</v>
      </c>
      <c r="D237" s="198"/>
      <c r="E237" s="122"/>
      <c r="F237" s="122"/>
      <c r="G237" s="122"/>
      <c r="H237" s="51"/>
      <c r="I237" s="465"/>
    </row>
    <row r="238" spans="1:9" s="88" customFormat="1" ht="28.5" customHeight="1">
      <c r="A238" s="75" t="s">
        <v>4</v>
      </c>
      <c r="B238" s="185">
        <v>13.136363636363637</v>
      </c>
      <c r="C238" s="185">
        <v>13.136363636363637</v>
      </c>
      <c r="D238" s="198"/>
      <c r="E238" s="122"/>
      <c r="F238" s="144"/>
      <c r="G238" s="144"/>
      <c r="H238" s="185"/>
      <c r="I238" s="443"/>
    </row>
    <row r="239" spans="1:9" s="13" customFormat="1" ht="28.5" customHeight="1">
      <c r="A239" s="75" t="s">
        <v>21</v>
      </c>
      <c r="B239" s="185">
        <v>13.136363636363637</v>
      </c>
      <c r="C239" s="185">
        <v>13.136363636363637</v>
      </c>
      <c r="D239" s="198"/>
      <c r="E239" s="122"/>
      <c r="F239" s="31"/>
      <c r="G239" s="31"/>
      <c r="H239" s="62"/>
      <c r="I239" s="303"/>
    </row>
    <row r="240" spans="1:9" s="13" customFormat="1" ht="28.5" customHeight="1">
      <c r="A240" s="75" t="s">
        <v>70</v>
      </c>
      <c r="B240" s="51">
        <v>25.5</v>
      </c>
      <c r="C240" s="51">
        <v>25.5</v>
      </c>
      <c r="D240" s="198"/>
      <c r="E240" s="122"/>
      <c r="F240" s="31"/>
      <c r="G240" s="31"/>
      <c r="H240" s="62"/>
      <c r="I240" s="303"/>
    </row>
    <row r="241" spans="1:9" s="88" customFormat="1" ht="28.5" customHeight="1">
      <c r="A241" s="81" t="s">
        <v>56</v>
      </c>
      <c r="B241" s="280">
        <f>B240*460/1000</f>
        <v>11.73</v>
      </c>
      <c r="C241" s="280">
        <f>C240*460/1000</f>
        <v>11.73</v>
      </c>
      <c r="D241" s="219"/>
      <c r="E241" s="63"/>
      <c r="F241" s="63"/>
      <c r="G241" s="63"/>
      <c r="H241" s="62"/>
      <c r="I241" s="443"/>
    </row>
    <row r="242" spans="1:9" s="88" customFormat="1" ht="28.5" customHeight="1">
      <c r="A242" s="81" t="s">
        <v>57</v>
      </c>
      <c r="B242" s="280">
        <f>B240*120/1000</f>
        <v>3.06</v>
      </c>
      <c r="C242" s="280">
        <f>C240*120/1000</f>
        <v>3.06</v>
      </c>
      <c r="D242" s="219"/>
      <c r="E242" s="63"/>
      <c r="F242" s="63"/>
      <c r="G242" s="63"/>
      <c r="H242" s="62"/>
      <c r="I242" s="443"/>
    </row>
    <row r="243" spans="1:9" s="13" customFormat="1" ht="28.5" customHeight="1">
      <c r="A243" s="264" t="s">
        <v>185</v>
      </c>
      <c r="B243" s="265">
        <f>B240-B241</f>
        <v>13.77</v>
      </c>
      <c r="C243" s="265">
        <f>C240-C241</f>
        <v>13.77</v>
      </c>
      <c r="D243" s="266"/>
      <c r="E243" s="267"/>
      <c r="F243" s="267"/>
      <c r="G243" s="267"/>
      <c r="H243" s="268"/>
      <c r="I243" s="447"/>
    </row>
    <row r="244" spans="1:9" s="13" customFormat="1" ht="28.5" customHeight="1">
      <c r="A244" s="264" t="s">
        <v>186</v>
      </c>
      <c r="B244" s="265">
        <f>B240-B242</f>
        <v>22.44</v>
      </c>
      <c r="C244" s="265">
        <f>C240-C242</f>
        <v>22.44</v>
      </c>
      <c r="D244" s="266"/>
      <c r="E244" s="267"/>
      <c r="F244" s="267"/>
      <c r="G244" s="267"/>
      <c r="H244" s="268"/>
      <c r="I244" s="447"/>
    </row>
    <row r="245" spans="1:9" s="13" customFormat="1" ht="28.5" customHeight="1">
      <c r="A245" s="124" t="s">
        <v>122</v>
      </c>
      <c r="B245" s="185">
        <v>4.636363636363637</v>
      </c>
      <c r="C245" s="185">
        <v>4.636363636363637</v>
      </c>
      <c r="D245" s="198"/>
      <c r="E245" s="122"/>
      <c r="F245" s="144"/>
      <c r="G245" s="144"/>
      <c r="H245" s="185"/>
      <c r="I245" s="443"/>
    </row>
    <row r="246" spans="1:9" s="13" customFormat="1" ht="28.5" customHeight="1">
      <c r="A246" s="72" t="s">
        <v>127</v>
      </c>
      <c r="B246" s="185"/>
      <c r="C246" s="185">
        <v>170</v>
      </c>
      <c r="D246" s="198"/>
      <c r="E246" s="122"/>
      <c r="F246" s="144"/>
      <c r="G246" s="144"/>
      <c r="H246" s="185"/>
      <c r="I246" s="443"/>
    </row>
    <row r="247" spans="1:9" s="88" customFormat="1" ht="28.5" customHeight="1">
      <c r="A247" s="72" t="s">
        <v>107</v>
      </c>
      <c r="B247" s="185">
        <v>30</v>
      </c>
      <c r="C247" s="185">
        <v>30</v>
      </c>
      <c r="D247" s="198"/>
      <c r="E247" s="122"/>
      <c r="F247" s="144"/>
      <c r="G247" s="144"/>
      <c r="H247" s="185"/>
      <c r="I247" s="443"/>
    </row>
    <row r="248" spans="1:9" s="88" customFormat="1" ht="28.5" customHeight="1">
      <c r="A248" s="518" t="s">
        <v>304</v>
      </c>
      <c r="B248" s="518"/>
      <c r="C248" s="518"/>
      <c r="D248" s="27" t="s">
        <v>171</v>
      </c>
      <c r="E248" s="34">
        <v>0.3</v>
      </c>
      <c r="F248" s="34">
        <v>0</v>
      </c>
      <c r="G248" s="34">
        <v>15.2</v>
      </c>
      <c r="H248" s="35">
        <f>G248*4+F248*9+E248*4</f>
        <v>62</v>
      </c>
      <c r="I248" s="468" t="s">
        <v>305</v>
      </c>
    </row>
    <row r="249" spans="1:9" s="13" customFormat="1" ht="28.5" customHeight="1">
      <c r="A249" s="80" t="s">
        <v>26</v>
      </c>
      <c r="B249" s="50">
        <v>2</v>
      </c>
      <c r="C249" s="50">
        <v>2</v>
      </c>
      <c r="D249" s="50"/>
      <c r="E249" s="55"/>
      <c r="F249" s="55"/>
      <c r="G249" s="31"/>
      <c r="H249" s="35"/>
      <c r="I249" s="468"/>
    </row>
    <row r="250" spans="1:9" s="13" customFormat="1" ht="28.5" customHeight="1">
      <c r="A250" s="75" t="s">
        <v>4</v>
      </c>
      <c r="B250" s="40">
        <v>15</v>
      </c>
      <c r="C250" s="40">
        <v>15</v>
      </c>
      <c r="D250" s="40"/>
      <c r="E250" s="144"/>
      <c r="F250" s="144"/>
      <c r="G250" s="144"/>
      <c r="H250" s="185"/>
      <c r="I250" s="443"/>
    </row>
    <row r="251" spans="1:9" s="13" customFormat="1" ht="28.5" customHeight="1">
      <c r="A251" s="75" t="s">
        <v>170</v>
      </c>
      <c r="B251" s="50">
        <v>8</v>
      </c>
      <c r="C251" s="50">
        <v>7</v>
      </c>
      <c r="D251" s="50"/>
      <c r="E251" s="55"/>
      <c r="F251" s="55"/>
      <c r="G251" s="55"/>
      <c r="H251" s="55"/>
      <c r="I251" s="468"/>
    </row>
    <row r="252" spans="1:9" s="13" customFormat="1" ht="28.5" customHeight="1">
      <c r="A252" s="306" t="s">
        <v>490</v>
      </c>
      <c r="B252" s="122">
        <v>129</v>
      </c>
      <c r="C252" s="122">
        <v>125</v>
      </c>
      <c r="D252" s="307">
        <v>125</v>
      </c>
      <c r="E252" s="127">
        <v>2.5</v>
      </c>
      <c r="F252" s="127">
        <v>3.1</v>
      </c>
      <c r="G252" s="127">
        <v>4.4</v>
      </c>
      <c r="H252" s="62">
        <f>E252*4+F252*9+G252*4</f>
        <v>55.50000000000001</v>
      </c>
      <c r="I252" s="304" t="s">
        <v>306</v>
      </c>
    </row>
    <row r="253" spans="1:9" s="13" customFormat="1" ht="28.5" customHeight="1">
      <c r="A253" s="507" t="s">
        <v>77</v>
      </c>
      <c r="B253" s="507"/>
      <c r="C253" s="507"/>
      <c r="D253" s="184">
        <f>D254+265+125+D291+D302</f>
        <v>870</v>
      </c>
      <c r="E253" s="57">
        <f>E254+E268+E283+E291+E302+E306+E308</f>
        <v>35.49</v>
      </c>
      <c r="F253" s="57">
        <f>F254+F268+F283+F291+F302+F306+F308</f>
        <v>28.300000000000004</v>
      </c>
      <c r="G253" s="57">
        <f>G254+G268+G283+G291+G302+G306+G308</f>
        <v>128.90428571428572</v>
      </c>
      <c r="H253" s="57">
        <f>H254+H268+H283+H291+H302+H306+H308</f>
        <v>909.677142857143</v>
      </c>
      <c r="I253" s="469"/>
    </row>
    <row r="254" spans="1:9" s="13" customFormat="1" ht="28.5" customHeight="1">
      <c r="A254" s="516" t="s">
        <v>307</v>
      </c>
      <c r="B254" s="516"/>
      <c r="C254" s="516"/>
      <c r="D254" s="29">
        <v>100</v>
      </c>
      <c r="E254" s="31">
        <v>1.6</v>
      </c>
      <c r="F254" s="31">
        <v>5.1</v>
      </c>
      <c r="G254" s="31">
        <v>9.6</v>
      </c>
      <c r="H254" s="31">
        <f>E254*4+F254*9+G254*4</f>
        <v>90.69999999999999</v>
      </c>
      <c r="I254" s="303" t="s">
        <v>308</v>
      </c>
    </row>
    <row r="255" spans="1:9" s="13" customFormat="1" ht="28.5" customHeight="1">
      <c r="A255" s="308" t="s">
        <v>309</v>
      </c>
      <c r="B255" s="51">
        <f>C255*1.25</f>
        <v>105</v>
      </c>
      <c r="C255" s="50">
        <v>84</v>
      </c>
      <c r="D255" s="50"/>
      <c r="E255" s="55"/>
      <c r="F255" s="55"/>
      <c r="G255" s="55"/>
      <c r="H255" s="55"/>
      <c r="I255" s="303"/>
    </row>
    <row r="256" spans="1:9" s="13" customFormat="1" ht="30" customHeight="1">
      <c r="A256" s="124" t="s">
        <v>81</v>
      </c>
      <c r="B256" s="144">
        <f>C256*1.25</f>
        <v>12.5</v>
      </c>
      <c r="C256" s="122">
        <v>10</v>
      </c>
      <c r="D256" s="50"/>
      <c r="E256" s="50"/>
      <c r="F256" s="50"/>
      <c r="G256" s="50"/>
      <c r="H256" s="55"/>
      <c r="I256" s="305"/>
    </row>
    <row r="257" spans="1:9" s="13" customFormat="1" ht="30" customHeight="1">
      <c r="A257" s="130" t="s">
        <v>16</v>
      </c>
      <c r="B257" s="144">
        <f>C257*1.33</f>
        <v>13.3</v>
      </c>
      <c r="C257" s="122">
        <v>10</v>
      </c>
      <c r="D257" s="50"/>
      <c r="E257" s="50"/>
      <c r="F257" s="50"/>
      <c r="G257" s="50"/>
      <c r="H257" s="55"/>
      <c r="I257" s="305"/>
    </row>
    <row r="258" spans="1:9" s="88" customFormat="1" ht="30" customHeight="1">
      <c r="A258" s="535" t="s">
        <v>310</v>
      </c>
      <c r="B258" s="535"/>
      <c r="C258" s="535"/>
      <c r="D258" s="50"/>
      <c r="E258" s="50"/>
      <c r="F258" s="50"/>
      <c r="G258" s="50"/>
      <c r="H258" s="55"/>
      <c r="I258" s="305"/>
    </row>
    <row r="259" spans="1:9" s="13" customFormat="1" ht="30" customHeight="1">
      <c r="A259" s="124" t="s">
        <v>4</v>
      </c>
      <c r="B259" s="185">
        <v>4</v>
      </c>
      <c r="C259" s="122">
        <v>4</v>
      </c>
      <c r="D259" s="50"/>
      <c r="E259" s="50"/>
      <c r="F259" s="53"/>
      <c r="G259" s="53"/>
      <c r="H259" s="45"/>
      <c r="I259" s="303"/>
    </row>
    <row r="260" spans="1:9" s="88" customFormat="1" ht="30" customHeight="1">
      <c r="A260" s="124" t="s">
        <v>311</v>
      </c>
      <c r="B260" s="256">
        <v>0.12</v>
      </c>
      <c r="C260" s="122">
        <v>0.12</v>
      </c>
      <c r="D260" s="50"/>
      <c r="E260" s="50"/>
      <c r="F260" s="53"/>
      <c r="G260" s="53"/>
      <c r="H260" s="45"/>
      <c r="I260" s="303"/>
    </row>
    <row r="261" spans="1:9" s="13" customFormat="1" ht="30" customHeight="1">
      <c r="A261" s="124" t="s">
        <v>312</v>
      </c>
      <c r="B261" s="185">
        <v>6</v>
      </c>
      <c r="C261" s="122">
        <v>6</v>
      </c>
      <c r="D261" s="50"/>
      <c r="E261" s="50"/>
      <c r="F261" s="53"/>
      <c r="G261" s="53"/>
      <c r="H261" s="45"/>
      <c r="I261" s="303"/>
    </row>
    <row r="262" spans="1:10" s="13" customFormat="1" ht="30" customHeight="1">
      <c r="A262" s="75" t="s">
        <v>101</v>
      </c>
      <c r="B262" s="50">
        <v>5</v>
      </c>
      <c r="C262" s="50">
        <v>5</v>
      </c>
      <c r="D262" s="50"/>
      <c r="E262" s="144"/>
      <c r="F262" s="144"/>
      <c r="G262" s="63"/>
      <c r="H262" s="62"/>
      <c r="I262" s="444"/>
      <c r="J262" s="20"/>
    </row>
    <row r="263" spans="1:10" s="13" customFormat="1" ht="30" customHeight="1">
      <c r="A263" s="508" t="s">
        <v>95</v>
      </c>
      <c r="B263" s="508"/>
      <c r="C263" s="508"/>
      <c r="D263" s="508"/>
      <c r="E263" s="508"/>
      <c r="F263" s="508"/>
      <c r="G263" s="508"/>
      <c r="H263" s="508"/>
      <c r="I263" s="508"/>
      <c r="J263" s="20"/>
    </row>
    <row r="264" spans="1:10" s="13" customFormat="1" ht="30" customHeight="1">
      <c r="A264" s="516" t="s">
        <v>324</v>
      </c>
      <c r="B264" s="516"/>
      <c r="C264" s="516"/>
      <c r="D264" s="61">
        <v>100</v>
      </c>
      <c r="E264" s="63">
        <v>1</v>
      </c>
      <c r="F264" s="63">
        <v>0.3333333333333333</v>
      </c>
      <c r="G264" s="63">
        <v>4</v>
      </c>
      <c r="H264" s="186">
        <f>E264*4+F264*9+G264*4</f>
        <v>23</v>
      </c>
      <c r="I264" s="304" t="s">
        <v>278</v>
      </c>
      <c r="J264" s="171"/>
    </row>
    <row r="265" spans="1:10" s="13" customFormat="1" ht="30" customHeight="1">
      <c r="A265" s="130" t="s">
        <v>124</v>
      </c>
      <c r="B265" s="51">
        <f>C265*1.02</f>
        <v>102</v>
      </c>
      <c r="C265" s="83">
        <v>100</v>
      </c>
      <c r="D265" s="82"/>
      <c r="E265" s="114"/>
      <c r="F265" s="114"/>
      <c r="G265" s="114"/>
      <c r="H265" s="114"/>
      <c r="I265" s="496"/>
      <c r="J265" s="20"/>
    </row>
    <row r="266" spans="1:10" s="13" customFormat="1" ht="30" customHeight="1">
      <c r="A266" s="75" t="s">
        <v>125</v>
      </c>
      <c r="B266" s="51">
        <f>C266*1.18</f>
        <v>118</v>
      </c>
      <c r="C266" s="83">
        <v>100</v>
      </c>
      <c r="D266" s="82"/>
      <c r="E266" s="114"/>
      <c r="F266" s="114"/>
      <c r="G266" s="114"/>
      <c r="H266" s="114"/>
      <c r="I266" s="456"/>
      <c r="J266" s="20"/>
    </row>
    <row r="267" spans="1:9" s="13" customFormat="1" ht="30" customHeight="1">
      <c r="A267" s="75" t="s">
        <v>138</v>
      </c>
      <c r="B267" s="51">
        <f>C267*1.82</f>
        <v>182</v>
      </c>
      <c r="C267" s="83">
        <v>100</v>
      </c>
      <c r="D267" s="82"/>
      <c r="E267" s="114"/>
      <c r="F267" s="114"/>
      <c r="G267" s="114"/>
      <c r="H267" s="114"/>
      <c r="I267" s="456"/>
    </row>
    <row r="268" spans="1:9" s="88" customFormat="1" ht="30" customHeight="1">
      <c r="A268" s="533" t="s">
        <v>411</v>
      </c>
      <c r="B268" s="543"/>
      <c r="C268" s="543"/>
      <c r="D268" s="58" t="s">
        <v>189</v>
      </c>
      <c r="E268" s="61">
        <v>4.7</v>
      </c>
      <c r="F268" s="61">
        <v>5.2</v>
      </c>
      <c r="G268" s="61">
        <v>14.4</v>
      </c>
      <c r="H268" s="62">
        <f>G268*4+F268*9+E268*4</f>
        <v>123.2</v>
      </c>
      <c r="I268" s="303" t="s">
        <v>313</v>
      </c>
    </row>
    <row r="269" spans="1:9" s="142" customFormat="1" ht="30" customHeight="1">
      <c r="A269" s="76" t="s">
        <v>111</v>
      </c>
      <c r="B269" s="191">
        <f>C269*1.36</f>
        <v>21.76</v>
      </c>
      <c r="C269" s="44">
        <v>16</v>
      </c>
      <c r="D269" s="42"/>
      <c r="E269" s="192"/>
      <c r="F269" s="192"/>
      <c r="G269" s="192"/>
      <c r="H269" s="193"/>
      <c r="I269" s="463"/>
    </row>
    <row r="270" spans="1:9" s="88" customFormat="1" ht="30" customHeight="1">
      <c r="A270" s="76" t="s">
        <v>112</v>
      </c>
      <c r="B270" s="191">
        <f>C270*1.18</f>
        <v>18.88</v>
      </c>
      <c r="C270" s="44">
        <v>16</v>
      </c>
      <c r="D270" s="42"/>
      <c r="E270" s="192"/>
      <c r="F270" s="192"/>
      <c r="G270" s="192"/>
      <c r="H270" s="193"/>
      <c r="I270" s="463"/>
    </row>
    <row r="271" spans="1:9" s="88" customFormat="1" ht="30" customHeight="1">
      <c r="A271" s="72" t="s">
        <v>12</v>
      </c>
      <c r="B271" s="49">
        <f>C271*1.33</f>
        <v>99.75</v>
      </c>
      <c r="C271" s="5">
        <v>75</v>
      </c>
      <c r="D271" s="33"/>
      <c r="E271" s="85"/>
      <c r="F271" s="85"/>
      <c r="G271" s="85"/>
      <c r="H271" s="30"/>
      <c r="I271" s="462"/>
    </row>
    <row r="272" spans="1:9" s="88" customFormat="1" ht="30" customHeight="1">
      <c r="A272" s="72" t="s">
        <v>13</v>
      </c>
      <c r="B272" s="49">
        <f>C272*1.43</f>
        <v>107.25</v>
      </c>
      <c r="C272" s="5">
        <v>75</v>
      </c>
      <c r="D272" s="33"/>
      <c r="E272" s="85"/>
      <c r="F272" s="85"/>
      <c r="G272" s="85"/>
      <c r="H272" s="30"/>
      <c r="I272" s="462"/>
    </row>
    <row r="273" spans="1:9" s="88" customFormat="1" ht="30" customHeight="1">
      <c r="A273" s="75" t="s">
        <v>14</v>
      </c>
      <c r="B273" s="49">
        <f>C273*1.54</f>
        <v>115.5</v>
      </c>
      <c r="C273" s="5">
        <v>75</v>
      </c>
      <c r="D273" s="33"/>
      <c r="E273" s="85"/>
      <c r="F273" s="85"/>
      <c r="G273" s="85"/>
      <c r="H273" s="30"/>
      <c r="I273" s="462"/>
    </row>
    <row r="274" spans="1:9" s="13" customFormat="1" ht="30" customHeight="1">
      <c r="A274" s="75" t="s">
        <v>15</v>
      </c>
      <c r="B274" s="49">
        <f>C274*1.67</f>
        <v>125.25</v>
      </c>
      <c r="C274" s="5">
        <v>75</v>
      </c>
      <c r="D274" s="33"/>
      <c r="E274" s="85"/>
      <c r="F274" s="85"/>
      <c r="G274" s="85"/>
      <c r="H274" s="30"/>
      <c r="I274" s="462"/>
    </row>
    <row r="275" spans="1:12" s="13" customFormat="1" ht="30" customHeight="1">
      <c r="A275" s="80" t="s">
        <v>154</v>
      </c>
      <c r="B275" s="5">
        <v>5</v>
      </c>
      <c r="C275" s="5">
        <v>5</v>
      </c>
      <c r="D275" s="50"/>
      <c r="E275" s="144"/>
      <c r="F275" s="144"/>
      <c r="G275" s="221"/>
      <c r="H275" s="222"/>
      <c r="I275" s="444"/>
      <c r="K275" s="88"/>
      <c r="L275" s="88"/>
    </row>
    <row r="276" spans="1:13" s="88" customFormat="1" ht="30" customHeight="1">
      <c r="A276" s="72" t="s">
        <v>18</v>
      </c>
      <c r="B276" s="51">
        <f>C276*1.19</f>
        <v>5.949999999999999</v>
      </c>
      <c r="C276" s="49">
        <v>5</v>
      </c>
      <c r="D276" s="42"/>
      <c r="E276" s="192"/>
      <c r="F276" s="192"/>
      <c r="G276" s="192"/>
      <c r="H276" s="193"/>
      <c r="I276" s="463"/>
      <c r="M276" s="13"/>
    </row>
    <row r="277" spans="1:13" s="13" customFormat="1" ht="30" customHeight="1">
      <c r="A277" s="72" t="s">
        <v>81</v>
      </c>
      <c r="B277" s="54">
        <f>C277*1.25</f>
        <v>12.5</v>
      </c>
      <c r="C277" s="49">
        <v>10</v>
      </c>
      <c r="D277" s="42"/>
      <c r="E277" s="192"/>
      <c r="F277" s="192"/>
      <c r="G277" s="192"/>
      <c r="H277" s="193"/>
      <c r="I277" s="463"/>
      <c r="M277" s="20"/>
    </row>
    <row r="278" spans="1:13" s="13" customFormat="1" ht="30" customHeight="1">
      <c r="A278" s="72" t="s">
        <v>16</v>
      </c>
      <c r="B278" s="54">
        <f>C278*1.33</f>
        <v>13.3</v>
      </c>
      <c r="C278" s="49">
        <v>10</v>
      </c>
      <c r="D278" s="42"/>
      <c r="E278" s="192"/>
      <c r="F278" s="192"/>
      <c r="G278" s="192"/>
      <c r="H278" s="193"/>
      <c r="I278" s="463"/>
      <c r="M278" s="20"/>
    </row>
    <row r="279" spans="1:13" s="13" customFormat="1" ht="30" customHeight="1">
      <c r="A279" s="72" t="s">
        <v>153</v>
      </c>
      <c r="B279" s="49">
        <f>C279*1.82</f>
        <v>27.3</v>
      </c>
      <c r="C279" s="5">
        <v>15</v>
      </c>
      <c r="D279" s="50"/>
      <c r="E279" s="144"/>
      <c r="F279" s="144"/>
      <c r="G279" s="221"/>
      <c r="H279" s="222"/>
      <c r="I279" s="444"/>
      <c r="M279" s="97"/>
    </row>
    <row r="280" spans="1:13" s="13" customFormat="1" ht="30" customHeight="1">
      <c r="A280" s="124" t="s">
        <v>19</v>
      </c>
      <c r="B280" s="185">
        <v>5</v>
      </c>
      <c r="C280" s="185">
        <v>5</v>
      </c>
      <c r="D280" s="167"/>
      <c r="E280" s="194"/>
      <c r="F280" s="194"/>
      <c r="G280" s="194"/>
      <c r="H280" s="202"/>
      <c r="I280" s="464"/>
      <c r="M280" s="174"/>
    </row>
    <row r="281" spans="1:13" s="13" customFormat="1" ht="30" customHeight="1">
      <c r="A281" s="75" t="s">
        <v>76</v>
      </c>
      <c r="B281" s="50">
        <v>5</v>
      </c>
      <c r="C281" s="50">
        <v>5</v>
      </c>
      <c r="D281" s="50"/>
      <c r="E281" s="144"/>
      <c r="F281" s="144"/>
      <c r="G281" s="221"/>
      <c r="H281" s="222"/>
      <c r="I281" s="444"/>
      <c r="M281" s="20"/>
    </row>
    <row r="282" spans="1:13" s="13" customFormat="1" ht="30" customHeight="1">
      <c r="A282" s="74" t="s">
        <v>97</v>
      </c>
      <c r="B282" s="195">
        <v>0.2</v>
      </c>
      <c r="C282" s="195">
        <v>0.2</v>
      </c>
      <c r="D282" s="42"/>
      <c r="E282" s="192"/>
      <c r="F282" s="192"/>
      <c r="G282" s="192"/>
      <c r="H282" s="193"/>
      <c r="I282" s="463"/>
      <c r="M282" s="20"/>
    </row>
    <row r="283" spans="1:13" s="13" customFormat="1" ht="30" customHeight="1">
      <c r="A283" s="504" t="s">
        <v>314</v>
      </c>
      <c r="B283" s="504"/>
      <c r="C283" s="50"/>
      <c r="D283" s="29" t="s">
        <v>73</v>
      </c>
      <c r="E283" s="63">
        <v>20.3</v>
      </c>
      <c r="F283" s="63">
        <v>12.4</v>
      </c>
      <c r="G283" s="63">
        <v>6.214285714285715</v>
      </c>
      <c r="H283" s="62">
        <f>E283*4+F283*9+G283*4</f>
        <v>217.65714285714287</v>
      </c>
      <c r="I283" s="304" t="s">
        <v>315</v>
      </c>
      <c r="M283" s="20"/>
    </row>
    <row r="284" spans="1:13" s="88" customFormat="1" ht="30" customHeight="1">
      <c r="A284" s="78" t="s">
        <v>108</v>
      </c>
      <c r="B284" s="38">
        <f>C284*1.35</f>
        <v>183.60000000000002</v>
      </c>
      <c r="C284" s="39">
        <v>136</v>
      </c>
      <c r="D284" s="50"/>
      <c r="E284" s="144"/>
      <c r="F284" s="144"/>
      <c r="G284" s="144"/>
      <c r="H284" s="144"/>
      <c r="I284" s="443"/>
      <c r="M284" s="97"/>
    </row>
    <row r="285" spans="1:13" s="88" customFormat="1" ht="30" customHeight="1">
      <c r="A285" s="78" t="s">
        <v>110</v>
      </c>
      <c r="B285" s="38">
        <f>C285*1.16</f>
        <v>165.88</v>
      </c>
      <c r="C285" s="51">
        <v>143</v>
      </c>
      <c r="D285" s="26"/>
      <c r="E285" s="63"/>
      <c r="F285" s="63"/>
      <c r="G285" s="63"/>
      <c r="H285" s="62"/>
      <c r="I285" s="444"/>
      <c r="M285" s="13"/>
    </row>
    <row r="286" spans="1:13" s="88" customFormat="1" ht="30" customHeight="1">
      <c r="A286" s="78" t="s">
        <v>178</v>
      </c>
      <c r="B286" s="69">
        <f>C286*1.43</f>
        <v>204.48999999999998</v>
      </c>
      <c r="C286" s="51">
        <v>143</v>
      </c>
      <c r="D286" s="26"/>
      <c r="E286" s="63"/>
      <c r="F286" s="63"/>
      <c r="G286" s="63"/>
      <c r="H286" s="62"/>
      <c r="I286" s="444"/>
      <c r="M286" s="13"/>
    </row>
    <row r="287" spans="1:13" s="88" customFormat="1" ht="30" customHeight="1">
      <c r="A287" s="164" t="s">
        <v>179</v>
      </c>
      <c r="B287" s="69">
        <f>C287*1.72</f>
        <v>245.96</v>
      </c>
      <c r="C287" s="51">
        <v>143</v>
      </c>
      <c r="D287" s="26"/>
      <c r="E287" s="63"/>
      <c r="F287" s="63"/>
      <c r="G287" s="63"/>
      <c r="H287" s="62"/>
      <c r="I287" s="444"/>
      <c r="M287" s="13"/>
    </row>
    <row r="288" spans="1:9" s="13" customFormat="1" ht="30" customHeight="1">
      <c r="A288" s="75" t="s">
        <v>21</v>
      </c>
      <c r="B288" s="51">
        <v>10</v>
      </c>
      <c r="C288" s="51">
        <v>10</v>
      </c>
      <c r="D288" s="50"/>
      <c r="E288" s="144"/>
      <c r="F288" s="144"/>
      <c r="G288" s="144"/>
      <c r="H288" s="185"/>
      <c r="I288" s="444"/>
    </row>
    <row r="289" spans="1:9" s="13" customFormat="1" ht="30" customHeight="1">
      <c r="A289" s="75" t="s">
        <v>11</v>
      </c>
      <c r="B289" s="51">
        <v>6</v>
      </c>
      <c r="C289" s="51">
        <v>6</v>
      </c>
      <c r="D289" s="50"/>
      <c r="E289" s="144"/>
      <c r="F289" s="144"/>
      <c r="G289" s="63"/>
      <c r="H289" s="62"/>
      <c r="I289" s="443"/>
    </row>
    <row r="290" spans="1:9" s="13" customFormat="1" ht="30" customHeight="1">
      <c r="A290" s="124" t="s">
        <v>19</v>
      </c>
      <c r="B290" s="122">
        <v>5</v>
      </c>
      <c r="C290" s="122">
        <v>5</v>
      </c>
      <c r="D290" s="122"/>
      <c r="E290" s="144"/>
      <c r="F290" s="144"/>
      <c r="G290" s="144"/>
      <c r="H290" s="185"/>
      <c r="I290" s="443"/>
    </row>
    <row r="291" spans="1:9" s="13" customFormat="1" ht="30" customHeight="1">
      <c r="A291" s="534" t="s">
        <v>295</v>
      </c>
      <c r="B291" s="534"/>
      <c r="C291" s="534"/>
      <c r="D291" s="53">
        <v>180</v>
      </c>
      <c r="E291" s="121">
        <v>3.6</v>
      </c>
      <c r="F291" s="121">
        <v>4.5</v>
      </c>
      <c r="G291" s="121">
        <v>23.1</v>
      </c>
      <c r="H291" s="62">
        <f>G291*4+F291*9+E291*4</f>
        <v>147.3</v>
      </c>
      <c r="I291" s="304" t="s">
        <v>296</v>
      </c>
    </row>
    <row r="292" spans="1:9" s="13" customFormat="1" ht="30" customHeight="1">
      <c r="A292" s="75" t="s">
        <v>12</v>
      </c>
      <c r="B292" s="51">
        <f>C292*1.33</f>
        <v>203.49</v>
      </c>
      <c r="C292" s="51">
        <v>153</v>
      </c>
      <c r="D292" s="50"/>
      <c r="E292" s="144"/>
      <c r="F292" s="144"/>
      <c r="G292" s="144"/>
      <c r="H292" s="185"/>
      <c r="I292" s="443"/>
    </row>
    <row r="293" spans="1:9" s="88" customFormat="1" ht="30" customHeight="1">
      <c r="A293" s="75" t="s">
        <v>13</v>
      </c>
      <c r="B293" s="51">
        <f>C293*1.43</f>
        <v>218.79</v>
      </c>
      <c r="C293" s="51">
        <v>153</v>
      </c>
      <c r="D293" s="50"/>
      <c r="E293" s="144"/>
      <c r="F293" s="144"/>
      <c r="G293" s="144"/>
      <c r="H293" s="185"/>
      <c r="I293" s="443"/>
    </row>
    <row r="294" spans="1:10" s="88" customFormat="1" ht="30" customHeight="1">
      <c r="A294" s="75" t="s">
        <v>14</v>
      </c>
      <c r="B294" s="51">
        <f>C294*1.54</f>
        <v>235.62</v>
      </c>
      <c r="C294" s="51">
        <v>153</v>
      </c>
      <c r="D294" s="50"/>
      <c r="E294" s="144"/>
      <c r="F294" s="63"/>
      <c r="G294" s="63"/>
      <c r="H294" s="62"/>
      <c r="I294" s="443"/>
      <c r="J294" s="103"/>
    </row>
    <row r="295" spans="1:9" s="88" customFormat="1" ht="30" customHeight="1">
      <c r="A295" s="75" t="s">
        <v>15</v>
      </c>
      <c r="B295" s="51">
        <f>C295*1.67</f>
        <v>255.51</v>
      </c>
      <c r="C295" s="51">
        <v>153</v>
      </c>
      <c r="D295" s="50"/>
      <c r="E295" s="144"/>
      <c r="F295" s="63"/>
      <c r="G295" s="63"/>
      <c r="H295" s="62"/>
      <c r="I295" s="443"/>
    </row>
    <row r="296" spans="1:9" s="13" customFormat="1" ht="30" customHeight="1">
      <c r="A296" s="75" t="s">
        <v>70</v>
      </c>
      <c r="B296" s="5">
        <v>28</v>
      </c>
      <c r="C296" s="5">
        <v>28</v>
      </c>
      <c r="D296" s="50"/>
      <c r="E296" s="144"/>
      <c r="F296" s="144"/>
      <c r="G296" s="144"/>
      <c r="H296" s="185"/>
      <c r="I296" s="443"/>
    </row>
    <row r="297" spans="1:9" s="13" customFormat="1" ht="30" customHeight="1">
      <c r="A297" s="81" t="s">
        <v>56</v>
      </c>
      <c r="B297" s="280">
        <f>B296*460/1000</f>
        <v>12.88</v>
      </c>
      <c r="C297" s="280">
        <f>C296*460/1000</f>
        <v>12.88</v>
      </c>
      <c r="D297" s="219"/>
      <c r="E297" s="63"/>
      <c r="F297" s="63"/>
      <c r="G297" s="63"/>
      <c r="H297" s="62"/>
      <c r="I297" s="443"/>
    </row>
    <row r="298" spans="1:9" s="88" customFormat="1" ht="30" customHeight="1">
      <c r="A298" s="81" t="s">
        <v>57</v>
      </c>
      <c r="B298" s="375">
        <f>B296*120/1000</f>
        <v>3.36</v>
      </c>
      <c r="C298" s="375">
        <f>C296*120/1000</f>
        <v>3.36</v>
      </c>
      <c r="D298" s="219"/>
      <c r="E298" s="63"/>
      <c r="F298" s="63"/>
      <c r="G298" s="63"/>
      <c r="H298" s="62"/>
      <c r="I298" s="443"/>
    </row>
    <row r="299" spans="1:9" s="88" customFormat="1" ht="30" customHeight="1">
      <c r="A299" s="264" t="s">
        <v>185</v>
      </c>
      <c r="B299" s="265">
        <f>B296-B297</f>
        <v>15.12</v>
      </c>
      <c r="C299" s="265">
        <f>C296-C297</f>
        <v>15.12</v>
      </c>
      <c r="D299" s="266"/>
      <c r="E299" s="267"/>
      <c r="F299" s="267"/>
      <c r="G299" s="267"/>
      <c r="H299" s="268"/>
      <c r="I299" s="447"/>
    </row>
    <row r="300" spans="1:9" s="13" customFormat="1" ht="30" customHeight="1">
      <c r="A300" s="264" t="s">
        <v>186</v>
      </c>
      <c r="B300" s="269">
        <f>B296-B298</f>
        <v>24.64</v>
      </c>
      <c r="C300" s="269">
        <f>C296-C298</f>
        <v>24.64</v>
      </c>
      <c r="D300" s="266"/>
      <c r="E300" s="267"/>
      <c r="F300" s="267"/>
      <c r="G300" s="267"/>
      <c r="H300" s="268"/>
      <c r="I300" s="447"/>
    </row>
    <row r="301" spans="1:9" s="88" customFormat="1" ht="30" customHeight="1">
      <c r="A301" s="124" t="s">
        <v>19</v>
      </c>
      <c r="B301" s="185">
        <v>6</v>
      </c>
      <c r="C301" s="185">
        <v>6</v>
      </c>
      <c r="D301" s="122"/>
      <c r="E301" s="144"/>
      <c r="F301" s="144"/>
      <c r="G301" s="144"/>
      <c r="H301" s="185"/>
      <c r="I301" s="443"/>
    </row>
    <row r="302" spans="1:9" s="88" customFormat="1" ht="30" customHeight="1">
      <c r="A302" s="506" t="s">
        <v>434</v>
      </c>
      <c r="B302" s="506"/>
      <c r="C302" s="506"/>
      <c r="D302" s="109">
        <v>200</v>
      </c>
      <c r="E302" s="108">
        <v>0.2</v>
      </c>
      <c r="F302" s="108">
        <v>0.1</v>
      </c>
      <c r="G302" s="108">
        <v>21.5</v>
      </c>
      <c r="H302" s="62">
        <f>G302*4+F302*9+E302*4</f>
        <v>87.7</v>
      </c>
      <c r="I302" s="302" t="s">
        <v>435</v>
      </c>
    </row>
    <row r="303" spans="1:9" s="13" customFormat="1" ht="30" customHeight="1">
      <c r="A303" s="79" t="s">
        <v>477</v>
      </c>
      <c r="B303" s="151">
        <f>C303*1.06</f>
        <v>25.44</v>
      </c>
      <c r="C303" s="71">
        <v>24</v>
      </c>
      <c r="D303" s="113"/>
      <c r="E303" s="152"/>
      <c r="F303" s="152"/>
      <c r="G303" s="152"/>
      <c r="H303" s="163"/>
      <c r="I303" s="454"/>
    </row>
    <row r="304" spans="1:9" s="88" customFormat="1" ht="30" customHeight="1">
      <c r="A304" s="75" t="s">
        <v>4</v>
      </c>
      <c r="B304" s="71">
        <v>15</v>
      </c>
      <c r="C304" s="71">
        <v>15</v>
      </c>
      <c r="D304" s="113"/>
      <c r="E304" s="152"/>
      <c r="F304" s="152"/>
      <c r="G304" s="152"/>
      <c r="H304" s="163"/>
      <c r="I304" s="454"/>
    </row>
    <row r="305" spans="1:9" s="88" customFormat="1" ht="30" customHeight="1">
      <c r="A305" s="75" t="s">
        <v>436</v>
      </c>
      <c r="B305" s="71">
        <v>6</v>
      </c>
      <c r="C305" s="71">
        <v>6</v>
      </c>
      <c r="D305" s="113"/>
      <c r="E305" s="152"/>
      <c r="F305" s="152"/>
      <c r="G305" s="152"/>
      <c r="H305" s="163"/>
      <c r="I305" s="454"/>
    </row>
    <row r="306" spans="1:13" s="88" customFormat="1" ht="30" customHeight="1">
      <c r="A306" s="521" t="s">
        <v>27</v>
      </c>
      <c r="B306" s="521"/>
      <c r="C306" s="521"/>
      <c r="D306" s="29">
        <v>70</v>
      </c>
      <c r="E306" s="31">
        <v>3.2899999999999996</v>
      </c>
      <c r="F306" s="31">
        <v>0.7</v>
      </c>
      <c r="G306" s="31">
        <v>30.589999999999996</v>
      </c>
      <c r="H306" s="35">
        <v>141.82000000000002</v>
      </c>
      <c r="I306" s="444"/>
      <c r="L306" s="1" t="s">
        <v>62</v>
      </c>
      <c r="M306" s="13"/>
    </row>
    <row r="307" spans="1:13" s="88" customFormat="1" ht="30" customHeight="1">
      <c r="A307" s="504" t="s">
        <v>100</v>
      </c>
      <c r="B307" s="504"/>
      <c r="C307" s="504"/>
      <c r="D307" s="114">
        <v>70</v>
      </c>
      <c r="E307" s="144"/>
      <c r="F307" s="144"/>
      <c r="G307" s="144"/>
      <c r="H307" s="144"/>
      <c r="I307" s="443"/>
      <c r="L307" s="104" t="s">
        <v>27</v>
      </c>
      <c r="M307" s="97">
        <f>D422+D352</f>
        <v>70</v>
      </c>
    </row>
    <row r="308" spans="1:13" s="88" customFormat="1" ht="30" customHeight="1">
      <c r="A308" s="495" t="s">
        <v>27</v>
      </c>
      <c r="B308" s="122">
        <v>50</v>
      </c>
      <c r="C308" s="122">
        <v>50</v>
      </c>
      <c r="D308" s="61">
        <v>50</v>
      </c>
      <c r="E308" s="63">
        <v>1.8</v>
      </c>
      <c r="F308" s="63">
        <v>0.3</v>
      </c>
      <c r="G308" s="63">
        <v>23.5</v>
      </c>
      <c r="H308" s="62">
        <v>101.30000000000001</v>
      </c>
      <c r="I308" s="444"/>
      <c r="L308" s="7" t="s">
        <v>28</v>
      </c>
      <c r="M308" s="175">
        <f>+D420+B318+D350</f>
        <v>115</v>
      </c>
    </row>
    <row r="309" spans="1:13" s="88" customFormat="1" ht="30" customHeight="1">
      <c r="A309" s="505" t="s">
        <v>24</v>
      </c>
      <c r="B309" s="505"/>
      <c r="C309" s="505"/>
      <c r="D309" s="505"/>
      <c r="E309" s="154">
        <f>E253+E230</f>
        <v>62.39</v>
      </c>
      <c r="F309" s="154">
        <f>F253+F230</f>
        <v>60.10000000000001</v>
      </c>
      <c r="G309" s="154">
        <f>G253+G230</f>
        <v>186.90428571428572</v>
      </c>
      <c r="H309" s="154">
        <f>H253+H230</f>
        <v>1535.477142857143</v>
      </c>
      <c r="I309" s="455"/>
      <c r="L309" s="135" t="s">
        <v>29</v>
      </c>
      <c r="M309" s="176">
        <f>+C415+B323+B327</f>
        <v>8.3</v>
      </c>
    </row>
    <row r="310" spans="1:13" s="13" customFormat="1" ht="30" customHeight="1">
      <c r="A310" s="537" t="s">
        <v>93</v>
      </c>
      <c r="B310" s="537"/>
      <c r="C310" s="537"/>
      <c r="D310" s="537"/>
      <c r="E310" s="537"/>
      <c r="F310" s="537"/>
      <c r="G310" s="537"/>
      <c r="H310" s="537"/>
      <c r="I310" s="537"/>
      <c r="L310" s="136" t="s">
        <v>53</v>
      </c>
      <c r="M310" s="177">
        <f>C334</f>
        <v>45</v>
      </c>
    </row>
    <row r="311" spans="1:13" s="13" customFormat="1" ht="30" customHeight="1">
      <c r="A311" s="515" t="s">
        <v>0</v>
      </c>
      <c r="B311" s="517" t="s">
        <v>6</v>
      </c>
      <c r="C311" s="517" t="s">
        <v>7</v>
      </c>
      <c r="D311" s="515" t="s">
        <v>5</v>
      </c>
      <c r="E311" s="515"/>
      <c r="F311" s="515"/>
      <c r="G311" s="515"/>
      <c r="H311" s="515"/>
      <c r="I311" s="515"/>
      <c r="L311" s="9" t="s">
        <v>87</v>
      </c>
      <c r="M311" s="175"/>
    </row>
    <row r="312" spans="1:13" s="12" customFormat="1" ht="30" customHeight="1">
      <c r="A312" s="515"/>
      <c r="B312" s="517"/>
      <c r="C312" s="517"/>
      <c r="D312" s="517" t="s">
        <v>8</v>
      </c>
      <c r="E312" s="519" t="s">
        <v>1</v>
      </c>
      <c r="F312" s="519" t="s">
        <v>2</v>
      </c>
      <c r="G312" s="519" t="s">
        <v>9</v>
      </c>
      <c r="H312" s="532" t="s">
        <v>3</v>
      </c>
      <c r="I312" s="513" t="s">
        <v>245</v>
      </c>
      <c r="J312" s="13"/>
      <c r="L312" s="135" t="s">
        <v>30</v>
      </c>
      <c r="M312" s="178">
        <f>C380++C360</f>
        <v>42</v>
      </c>
    </row>
    <row r="313" spans="1:13" s="88" customFormat="1" ht="30" customHeight="1">
      <c r="A313" s="515"/>
      <c r="B313" s="517"/>
      <c r="C313" s="517"/>
      <c r="D313" s="517"/>
      <c r="E313" s="519"/>
      <c r="F313" s="519"/>
      <c r="G313" s="519"/>
      <c r="H313" s="532"/>
      <c r="I313" s="513"/>
      <c r="L313" s="135" t="s">
        <v>31</v>
      </c>
      <c r="M313" s="178">
        <f>C381+C338+C409+C411+C413+++C320+C328+C329+C331+C374+C356+C358+C364++C414+C384+C394+C395+C376+C383</f>
        <v>466.4</v>
      </c>
    </row>
    <row r="314" spans="1:13" s="88" customFormat="1" ht="30" customHeight="1">
      <c r="A314" s="507" t="s">
        <v>132</v>
      </c>
      <c r="B314" s="507"/>
      <c r="C314" s="507"/>
      <c r="D314" s="184">
        <f>D337+150+D333+D342</f>
        <v>590</v>
      </c>
      <c r="E314" s="133">
        <f>E341+E315+E333+E342+E350+E352</f>
        <v>20.84</v>
      </c>
      <c r="F314" s="133">
        <f>F341+F315+F333+F342+F350+F352</f>
        <v>19.459999999999994</v>
      </c>
      <c r="G314" s="133">
        <f>G341+G315+G333+G342+G350+G352</f>
        <v>82.42000000000002</v>
      </c>
      <c r="H314" s="133">
        <f>H341+H315+H333+H342+H350+H352</f>
        <v>583.8799999999999</v>
      </c>
      <c r="I314" s="451"/>
      <c r="L314" s="7" t="s">
        <v>32</v>
      </c>
      <c r="M314" s="20"/>
    </row>
    <row r="315" spans="1:13" s="88" customFormat="1" ht="30" customHeight="1">
      <c r="A315" s="504" t="s">
        <v>325</v>
      </c>
      <c r="B315" s="504"/>
      <c r="C315" s="504"/>
      <c r="D315" s="61" t="s">
        <v>139</v>
      </c>
      <c r="E315" s="63">
        <v>10.4</v>
      </c>
      <c r="F315" s="63">
        <v>11.2</v>
      </c>
      <c r="G315" s="63">
        <v>12.5</v>
      </c>
      <c r="H315" s="62">
        <f>G315*4+F315*9+E315*4</f>
        <v>192.4</v>
      </c>
      <c r="I315" s="444" t="s">
        <v>326</v>
      </c>
      <c r="L315" s="8" t="s">
        <v>33</v>
      </c>
      <c r="M315" s="13">
        <f>C418</f>
        <v>25</v>
      </c>
    </row>
    <row r="316" spans="1:13" s="13" customFormat="1" ht="30" customHeight="1">
      <c r="A316" s="73" t="s">
        <v>111</v>
      </c>
      <c r="B316" s="38">
        <f>C316*1.36</f>
        <v>89.76</v>
      </c>
      <c r="C316" s="5">
        <v>66</v>
      </c>
      <c r="D316" s="185"/>
      <c r="E316" s="144"/>
      <c r="F316" s="144"/>
      <c r="G316" s="144"/>
      <c r="H316" s="144"/>
      <c r="I316" s="443"/>
      <c r="L316" s="8" t="s">
        <v>34</v>
      </c>
      <c r="M316" s="24">
        <f>C419+C332+C344+B416+C386</f>
        <v>29.5</v>
      </c>
    </row>
    <row r="317" spans="1:13" s="13" customFormat="1" ht="30" customHeight="1">
      <c r="A317" s="73" t="s">
        <v>112</v>
      </c>
      <c r="B317" s="38">
        <f>C317*1.18</f>
        <v>77.88</v>
      </c>
      <c r="C317" s="5">
        <f>C316</f>
        <v>66</v>
      </c>
      <c r="D317" s="42"/>
      <c r="E317" s="43"/>
      <c r="F317" s="43"/>
      <c r="G317" s="43"/>
      <c r="H317" s="160"/>
      <c r="I317" s="449"/>
      <c r="L317" s="8" t="s">
        <v>35</v>
      </c>
      <c r="M317" s="88"/>
    </row>
    <row r="318" spans="1:13" s="142" customFormat="1" ht="30" customHeight="1">
      <c r="A318" s="75" t="s">
        <v>10</v>
      </c>
      <c r="B318" s="5">
        <v>15</v>
      </c>
      <c r="C318" s="5">
        <v>15</v>
      </c>
      <c r="D318" s="185"/>
      <c r="E318" s="144"/>
      <c r="F318" s="144"/>
      <c r="G318" s="144"/>
      <c r="H318" s="185"/>
      <c r="I318" s="444"/>
      <c r="L318" s="8" t="s">
        <v>36</v>
      </c>
      <c r="M318" s="13"/>
    </row>
    <row r="319" spans="1:12" s="13" customFormat="1" ht="30" customHeight="1">
      <c r="A319" s="124" t="s">
        <v>293</v>
      </c>
      <c r="B319" s="122">
        <v>20</v>
      </c>
      <c r="C319" s="122">
        <v>20</v>
      </c>
      <c r="D319" s="185"/>
      <c r="E319" s="144"/>
      <c r="F319" s="144"/>
      <c r="G319" s="144"/>
      <c r="H319" s="185"/>
      <c r="I319" s="444"/>
      <c r="L319" s="8" t="s">
        <v>82</v>
      </c>
    </row>
    <row r="320" spans="1:12" s="13" customFormat="1" ht="30" customHeight="1">
      <c r="A320" s="75" t="s">
        <v>18</v>
      </c>
      <c r="B320" s="49">
        <f>C320*1.19</f>
        <v>24.99</v>
      </c>
      <c r="C320" s="5">
        <v>21</v>
      </c>
      <c r="D320" s="185"/>
      <c r="E320" s="144"/>
      <c r="F320" s="144"/>
      <c r="G320" s="144"/>
      <c r="H320" s="185"/>
      <c r="I320" s="444"/>
      <c r="L320" s="8" t="s">
        <v>54</v>
      </c>
    </row>
    <row r="321" spans="1:13" s="13" customFormat="1" ht="30" customHeight="1">
      <c r="A321" s="75" t="s">
        <v>19</v>
      </c>
      <c r="B321" s="5">
        <v>10</v>
      </c>
      <c r="C321" s="5">
        <v>10</v>
      </c>
      <c r="D321" s="185"/>
      <c r="E321" s="144"/>
      <c r="F321" s="144"/>
      <c r="G321" s="144"/>
      <c r="H321" s="185"/>
      <c r="I321" s="444"/>
      <c r="L321" s="13" t="s">
        <v>257</v>
      </c>
      <c r="M321" s="13">
        <f>C343</f>
        <v>4</v>
      </c>
    </row>
    <row r="322" spans="1:13" s="13" customFormat="1" ht="30" customHeight="1">
      <c r="A322" s="183" t="s">
        <v>140</v>
      </c>
      <c r="B322" s="27"/>
      <c r="C322" s="27">
        <v>15</v>
      </c>
      <c r="D322" s="185"/>
      <c r="E322" s="144"/>
      <c r="F322" s="144"/>
      <c r="G322" s="144"/>
      <c r="H322" s="185"/>
      <c r="I322" s="444"/>
      <c r="L322" s="7" t="s">
        <v>37</v>
      </c>
      <c r="M322" s="24"/>
    </row>
    <row r="323" spans="1:13" s="13" customFormat="1" ht="30" customHeight="1">
      <c r="A323" s="75" t="s">
        <v>21</v>
      </c>
      <c r="B323" s="5">
        <v>3</v>
      </c>
      <c r="C323" s="5">
        <v>3</v>
      </c>
      <c r="D323" s="185"/>
      <c r="E323" s="144"/>
      <c r="F323" s="144"/>
      <c r="G323" s="144"/>
      <c r="H323" s="185"/>
      <c r="I323" s="444"/>
      <c r="L323" s="7" t="s">
        <v>38</v>
      </c>
      <c r="M323" s="24">
        <f>C316+C372</f>
        <v>82</v>
      </c>
    </row>
    <row r="324" spans="1:13" s="13" customFormat="1" ht="30" customHeight="1">
      <c r="A324" s="183" t="s">
        <v>327</v>
      </c>
      <c r="B324" s="234"/>
      <c r="C324" s="27">
        <v>50</v>
      </c>
      <c r="D324" s="122"/>
      <c r="E324" s="63"/>
      <c r="F324" s="63"/>
      <c r="G324" s="63"/>
      <c r="H324" s="62"/>
      <c r="I324" s="444" t="s">
        <v>328</v>
      </c>
      <c r="L324" s="7" t="s">
        <v>39</v>
      </c>
      <c r="M324" s="24">
        <f>C390</f>
        <v>145</v>
      </c>
    </row>
    <row r="325" spans="1:12" s="13" customFormat="1" ht="30" customHeight="1">
      <c r="A325" s="124" t="s">
        <v>329</v>
      </c>
      <c r="B325" s="122">
        <v>48</v>
      </c>
      <c r="C325" s="122">
        <v>48</v>
      </c>
      <c r="D325" s="122"/>
      <c r="E325" s="63"/>
      <c r="F325" s="63"/>
      <c r="G325" s="63"/>
      <c r="H325" s="62"/>
      <c r="I325" s="444"/>
      <c r="L325" s="7" t="s">
        <v>334</v>
      </c>
    </row>
    <row r="326" spans="1:13" s="13" customFormat="1" ht="30" customHeight="1">
      <c r="A326" s="124" t="s">
        <v>19</v>
      </c>
      <c r="B326" s="122">
        <v>2.3</v>
      </c>
      <c r="C326" s="122">
        <v>2.3</v>
      </c>
      <c r="D326" s="122"/>
      <c r="E326" s="144"/>
      <c r="F326" s="144"/>
      <c r="G326" s="144"/>
      <c r="H326" s="185"/>
      <c r="I326" s="444"/>
      <c r="L326" s="7" t="s">
        <v>41</v>
      </c>
      <c r="M326" s="24">
        <f>C355</f>
        <v>30</v>
      </c>
    </row>
    <row r="327" spans="1:13" s="13" customFormat="1" ht="30" customHeight="1">
      <c r="A327" s="75" t="s">
        <v>21</v>
      </c>
      <c r="B327" s="122">
        <v>2.3</v>
      </c>
      <c r="C327" s="122">
        <v>2.3</v>
      </c>
      <c r="D327" s="122"/>
      <c r="E327" s="144"/>
      <c r="F327" s="144"/>
      <c r="G327" s="144"/>
      <c r="H327" s="185"/>
      <c r="I327" s="444"/>
      <c r="L327" s="8" t="s">
        <v>42</v>
      </c>
      <c r="M327" s="24">
        <f>B345+C319</f>
        <v>70</v>
      </c>
    </row>
    <row r="328" spans="1:13" s="13" customFormat="1" ht="30" customHeight="1">
      <c r="A328" s="130" t="s">
        <v>72</v>
      </c>
      <c r="B328" s="49">
        <v>10</v>
      </c>
      <c r="C328" s="49">
        <v>10</v>
      </c>
      <c r="D328" s="122"/>
      <c r="E328" s="144"/>
      <c r="F328" s="144"/>
      <c r="G328" s="144"/>
      <c r="H328" s="185"/>
      <c r="I328" s="444"/>
      <c r="L328" s="8" t="s">
        <v>106</v>
      </c>
      <c r="M328" s="24"/>
    </row>
    <row r="329" spans="1:13" s="13" customFormat="1" ht="30" customHeight="1">
      <c r="A329" s="72" t="s">
        <v>81</v>
      </c>
      <c r="B329" s="54">
        <f>C329*1.25</f>
        <v>3.75</v>
      </c>
      <c r="C329" s="5">
        <v>3</v>
      </c>
      <c r="D329" s="122"/>
      <c r="E329" s="144"/>
      <c r="F329" s="144"/>
      <c r="G329" s="144"/>
      <c r="H329" s="185"/>
      <c r="I329" s="444"/>
      <c r="L329" s="8" t="s">
        <v>43</v>
      </c>
      <c r="M329" s="88"/>
    </row>
    <row r="330" spans="1:13" s="142" customFormat="1" ht="30" customHeight="1">
      <c r="A330" s="72" t="s">
        <v>16</v>
      </c>
      <c r="B330" s="49">
        <f>C330*1.33</f>
        <v>3.99</v>
      </c>
      <c r="C330" s="5">
        <v>3</v>
      </c>
      <c r="D330" s="122"/>
      <c r="E330" s="144"/>
      <c r="F330" s="144"/>
      <c r="G330" s="144"/>
      <c r="H330" s="185"/>
      <c r="I330" s="444"/>
      <c r="L330" s="7" t="s">
        <v>44</v>
      </c>
      <c r="M330" s="24">
        <f>+B387</f>
        <v>5</v>
      </c>
    </row>
    <row r="331" spans="1:13" s="88" customFormat="1" ht="30" customHeight="1">
      <c r="A331" s="75" t="s">
        <v>18</v>
      </c>
      <c r="B331" s="54">
        <f>C331*1.19</f>
        <v>1.19</v>
      </c>
      <c r="C331" s="5">
        <v>1</v>
      </c>
      <c r="D331" s="122"/>
      <c r="E331" s="144"/>
      <c r="F331" s="144"/>
      <c r="G331" s="144"/>
      <c r="H331" s="185"/>
      <c r="I331" s="444"/>
      <c r="L331" s="7" t="s">
        <v>45</v>
      </c>
      <c r="M331" s="13"/>
    </row>
    <row r="332" spans="1:13" s="88" customFormat="1" ht="30" customHeight="1">
      <c r="A332" s="75" t="s">
        <v>4</v>
      </c>
      <c r="B332" s="5">
        <v>0.5</v>
      </c>
      <c r="C332" s="5">
        <v>0.5</v>
      </c>
      <c r="D332" s="122"/>
      <c r="E332" s="144"/>
      <c r="F332" s="144"/>
      <c r="G332" s="144"/>
      <c r="H332" s="185"/>
      <c r="I332" s="444"/>
      <c r="L332" s="8" t="s">
        <v>46</v>
      </c>
      <c r="M332" s="24">
        <f>+C385++B321+B326+B336</f>
        <v>23.3</v>
      </c>
    </row>
    <row r="333" spans="1:13" s="88" customFormat="1" ht="30" customHeight="1">
      <c r="A333" s="534" t="s">
        <v>330</v>
      </c>
      <c r="B333" s="534"/>
      <c r="C333" s="534"/>
      <c r="D333" s="53">
        <v>180</v>
      </c>
      <c r="E333" s="63">
        <v>5.64</v>
      </c>
      <c r="F333" s="63">
        <v>5.76</v>
      </c>
      <c r="G333" s="63">
        <v>24.720000000000002</v>
      </c>
      <c r="H333" s="62">
        <f>G333*4+F333*9+E333*4</f>
        <v>173.28</v>
      </c>
      <c r="I333" s="444" t="s">
        <v>331</v>
      </c>
      <c r="L333" s="8" t="s">
        <v>47</v>
      </c>
      <c r="M333" s="24">
        <f>+C365+C410+B396</f>
        <v>12</v>
      </c>
    </row>
    <row r="334" spans="1:13" s="142" customFormat="1" ht="30" customHeight="1">
      <c r="A334" s="75" t="s">
        <v>105</v>
      </c>
      <c r="B334" s="51">
        <v>45</v>
      </c>
      <c r="C334" s="51">
        <v>45</v>
      </c>
      <c r="D334" s="50"/>
      <c r="E334" s="122"/>
      <c r="F334" s="122"/>
      <c r="G334" s="122"/>
      <c r="H334" s="185"/>
      <c r="I334" s="443"/>
      <c r="L334" s="65" t="s">
        <v>48</v>
      </c>
      <c r="M334" s="24"/>
    </row>
    <row r="335" spans="1:13" s="88" customFormat="1" ht="30" customHeight="1">
      <c r="A335" s="75" t="s">
        <v>84</v>
      </c>
      <c r="B335" s="51">
        <v>145</v>
      </c>
      <c r="C335" s="51">
        <v>145</v>
      </c>
      <c r="D335" s="50"/>
      <c r="E335" s="122"/>
      <c r="F335" s="122"/>
      <c r="G335" s="122"/>
      <c r="H335" s="185"/>
      <c r="I335" s="443"/>
      <c r="L335" s="13"/>
      <c r="M335" s="13"/>
    </row>
    <row r="336" spans="1:13" s="13" customFormat="1" ht="30" customHeight="1">
      <c r="A336" s="196" t="s">
        <v>19</v>
      </c>
      <c r="B336" s="182">
        <v>6</v>
      </c>
      <c r="C336" s="182">
        <v>6</v>
      </c>
      <c r="D336" s="122"/>
      <c r="E336" s="122"/>
      <c r="F336" s="122"/>
      <c r="G336" s="122"/>
      <c r="H336" s="185"/>
      <c r="I336" s="443"/>
      <c r="L336" s="90" t="s">
        <v>63</v>
      </c>
      <c r="M336" s="88"/>
    </row>
    <row r="337" spans="1:13" s="13" customFormat="1" ht="30" customHeight="1">
      <c r="A337" s="509" t="s">
        <v>499</v>
      </c>
      <c r="B337" s="509"/>
      <c r="C337" s="509"/>
      <c r="D337" s="29">
        <v>60</v>
      </c>
      <c r="E337" s="31">
        <v>0.4</v>
      </c>
      <c r="F337" s="31">
        <v>0.2</v>
      </c>
      <c r="G337" s="31">
        <v>1.4</v>
      </c>
      <c r="H337" s="62">
        <v>5</v>
      </c>
      <c r="I337" s="304" t="s">
        <v>319</v>
      </c>
      <c r="L337" s="6" t="s">
        <v>27</v>
      </c>
      <c r="M337" s="13">
        <f>D511+B453</f>
        <v>80</v>
      </c>
    </row>
    <row r="338" spans="1:13" s="13" customFormat="1" ht="30" customHeight="1">
      <c r="A338" s="130" t="s">
        <v>320</v>
      </c>
      <c r="B338" s="185">
        <f>C338*1.05</f>
        <v>63</v>
      </c>
      <c r="C338" s="122">
        <v>60</v>
      </c>
      <c r="D338" s="50"/>
      <c r="E338" s="50"/>
      <c r="F338" s="50"/>
      <c r="G338" s="50"/>
      <c r="H338" s="55"/>
      <c r="I338" s="305"/>
      <c r="L338" s="7" t="s">
        <v>28</v>
      </c>
      <c r="M338" s="13">
        <f>D509+C448</f>
        <v>90</v>
      </c>
    </row>
    <row r="339" spans="1:13" s="13" customFormat="1" ht="30" customHeight="1">
      <c r="A339" s="130" t="s">
        <v>321</v>
      </c>
      <c r="B339" s="185">
        <f>C339*1.02</f>
        <v>61.2</v>
      </c>
      <c r="C339" s="122">
        <v>60</v>
      </c>
      <c r="D339" s="46"/>
      <c r="E339" s="46"/>
      <c r="F339" s="46"/>
      <c r="G339" s="46"/>
      <c r="H339" s="309"/>
      <c r="I339" s="305"/>
      <c r="L339" s="8" t="s">
        <v>29</v>
      </c>
      <c r="M339" s="24"/>
    </row>
    <row r="340" spans="1:13" s="13" customFormat="1" ht="30" customHeight="1">
      <c r="A340" s="508" t="s">
        <v>95</v>
      </c>
      <c r="B340" s="508"/>
      <c r="C340" s="508"/>
      <c r="D340" s="508"/>
      <c r="E340" s="508"/>
      <c r="F340" s="508"/>
      <c r="G340" s="508"/>
      <c r="H340" s="508"/>
      <c r="I340" s="508"/>
      <c r="L340" s="9" t="s">
        <v>53</v>
      </c>
      <c r="M340" s="24">
        <f>C501</f>
        <v>51</v>
      </c>
    </row>
    <row r="341" spans="1:13" s="13" customFormat="1" ht="30" customHeight="1">
      <c r="A341" s="286" t="s">
        <v>500</v>
      </c>
      <c r="B341" s="185">
        <f>C341*1.82</f>
        <v>109.2</v>
      </c>
      <c r="C341" s="122">
        <v>60</v>
      </c>
      <c r="D341" s="203">
        <v>60</v>
      </c>
      <c r="E341" s="121">
        <v>0.4</v>
      </c>
      <c r="F341" s="121">
        <v>0.2</v>
      </c>
      <c r="G341" s="121">
        <v>1.4</v>
      </c>
      <c r="H341" s="498">
        <v>5</v>
      </c>
      <c r="I341" s="310" t="s">
        <v>511</v>
      </c>
      <c r="L341" s="9" t="s">
        <v>87</v>
      </c>
      <c r="M341" s="24"/>
    </row>
    <row r="342" spans="1:13" s="13" customFormat="1" ht="30" customHeight="1">
      <c r="A342" s="504" t="s">
        <v>259</v>
      </c>
      <c r="B342" s="504"/>
      <c r="C342" s="504"/>
      <c r="D342" s="29">
        <v>200</v>
      </c>
      <c r="E342" s="63">
        <v>1.9</v>
      </c>
      <c r="F342" s="63">
        <v>1.7</v>
      </c>
      <c r="G342" s="63">
        <v>17</v>
      </c>
      <c r="H342" s="62">
        <f>G342*4+F342*9+E342*4</f>
        <v>90.89999999999999</v>
      </c>
      <c r="I342" s="302" t="s">
        <v>260</v>
      </c>
      <c r="L342" s="8" t="s">
        <v>30</v>
      </c>
      <c r="M342" s="24">
        <f>C468</f>
        <v>100</v>
      </c>
    </row>
    <row r="343" spans="1:13" s="13" customFormat="1" ht="30" customHeight="1">
      <c r="A343" s="124" t="s">
        <v>134</v>
      </c>
      <c r="B343" s="122">
        <v>4</v>
      </c>
      <c r="C343" s="122">
        <v>4</v>
      </c>
      <c r="D343" s="122"/>
      <c r="E343" s="144"/>
      <c r="F343" s="144"/>
      <c r="G343" s="144"/>
      <c r="H343" s="122"/>
      <c r="I343" s="443"/>
      <c r="L343" s="7" t="s">
        <v>31</v>
      </c>
      <c r="M343" s="24">
        <f>+C474+C482+C502+C504+C505+C440+C472+C480+C457+C460+C466</f>
        <v>228.2</v>
      </c>
    </row>
    <row r="344" spans="1:13" s="13" customFormat="1" ht="30" customHeight="1">
      <c r="A344" s="75" t="s">
        <v>4</v>
      </c>
      <c r="B344" s="40">
        <v>15</v>
      </c>
      <c r="C344" s="40">
        <v>15</v>
      </c>
      <c r="D344" s="40"/>
      <c r="E344" s="144"/>
      <c r="F344" s="144"/>
      <c r="G344" s="144"/>
      <c r="H344" s="122"/>
      <c r="I344" s="443"/>
      <c r="L344" s="7" t="s">
        <v>32</v>
      </c>
      <c r="M344" s="13">
        <f>D454+C507</f>
        <v>185</v>
      </c>
    </row>
    <row r="345" spans="1:12" s="13" customFormat="1" ht="30" customHeight="1">
      <c r="A345" s="75" t="s">
        <v>70</v>
      </c>
      <c r="B345" s="40">
        <v>50</v>
      </c>
      <c r="C345" s="40">
        <v>50</v>
      </c>
      <c r="D345" s="40"/>
      <c r="E345" s="144"/>
      <c r="F345" s="144"/>
      <c r="G345" s="144"/>
      <c r="H345" s="122"/>
      <c r="I345" s="443"/>
      <c r="L345" s="8" t="s">
        <v>33</v>
      </c>
    </row>
    <row r="346" spans="1:13" s="88" customFormat="1" ht="30" customHeight="1">
      <c r="A346" s="81" t="s">
        <v>56</v>
      </c>
      <c r="B346" s="280">
        <f>B345*460/1000</f>
        <v>23</v>
      </c>
      <c r="C346" s="280">
        <f>C345*460/1000</f>
        <v>23</v>
      </c>
      <c r="D346" s="219"/>
      <c r="E346" s="63"/>
      <c r="F346" s="63"/>
      <c r="G346" s="63"/>
      <c r="H346" s="62"/>
      <c r="I346" s="443"/>
      <c r="L346" s="8" t="s">
        <v>34</v>
      </c>
      <c r="M346" s="24">
        <f>C508+B452</f>
        <v>27</v>
      </c>
    </row>
    <row r="347" spans="1:12" s="13" customFormat="1" ht="30" customHeight="1">
      <c r="A347" s="81" t="s">
        <v>57</v>
      </c>
      <c r="B347" s="280">
        <f>B345*120/1000</f>
        <v>6</v>
      </c>
      <c r="C347" s="280">
        <f>C345*120/1000</f>
        <v>6</v>
      </c>
      <c r="D347" s="219"/>
      <c r="E347" s="63"/>
      <c r="F347" s="63"/>
      <c r="G347" s="63"/>
      <c r="H347" s="62"/>
      <c r="I347" s="443"/>
      <c r="L347" s="8" t="s">
        <v>35</v>
      </c>
    </row>
    <row r="348" spans="1:13" s="13" customFormat="1" ht="30" customHeight="1">
      <c r="A348" s="264" t="s">
        <v>185</v>
      </c>
      <c r="B348" s="265">
        <f>B345-B346</f>
        <v>27</v>
      </c>
      <c r="C348" s="265">
        <f>C345-C346</f>
        <v>27</v>
      </c>
      <c r="D348" s="266"/>
      <c r="E348" s="267"/>
      <c r="F348" s="267"/>
      <c r="G348" s="267"/>
      <c r="H348" s="268"/>
      <c r="I348" s="447"/>
      <c r="L348" s="60" t="s">
        <v>36</v>
      </c>
      <c r="M348" s="142">
        <f>C449</f>
        <v>30</v>
      </c>
    </row>
    <row r="349" spans="1:14" s="13" customFormat="1" ht="30" customHeight="1">
      <c r="A349" s="264" t="s">
        <v>186</v>
      </c>
      <c r="B349" s="265">
        <f>B345-B347</f>
        <v>44</v>
      </c>
      <c r="C349" s="265">
        <f>C345-C347</f>
        <v>44</v>
      </c>
      <c r="D349" s="266"/>
      <c r="E349" s="267"/>
      <c r="F349" s="267"/>
      <c r="G349" s="267"/>
      <c r="H349" s="268"/>
      <c r="I349" s="447"/>
      <c r="J349" s="20"/>
      <c r="L349" s="8" t="s">
        <v>82</v>
      </c>
      <c r="M349" s="145"/>
      <c r="N349" s="20"/>
    </row>
    <row r="350" spans="1:14" s="13" customFormat="1" ht="30" customHeight="1">
      <c r="A350" s="494" t="s">
        <v>20</v>
      </c>
      <c r="B350" s="181">
        <v>40</v>
      </c>
      <c r="C350" s="181">
        <v>40</v>
      </c>
      <c r="D350" s="114">
        <v>40</v>
      </c>
      <c r="E350" s="121">
        <v>1.8</v>
      </c>
      <c r="F350" s="121">
        <v>0.4</v>
      </c>
      <c r="G350" s="121">
        <v>17.4</v>
      </c>
      <c r="H350" s="157">
        <v>81</v>
      </c>
      <c r="I350" s="444"/>
      <c r="J350" s="20"/>
      <c r="L350" s="8" t="s">
        <v>54</v>
      </c>
      <c r="N350" s="20"/>
    </row>
    <row r="351" spans="1:14" s="142" customFormat="1" ht="30" customHeight="1">
      <c r="A351" s="504" t="s">
        <v>100</v>
      </c>
      <c r="B351" s="504"/>
      <c r="C351" s="504"/>
      <c r="D351" s="114">
        <v>40</v>
      </c>
      <c r="E351" s="144"/>
      <c r="F351" s="144"/>
      <c r="G351" s="144"/>
      <c r="H351" s="144"/>
      <c r="I351" s="443"/>
      <c r="J351" s="214"/>
      <c r="L351" s="13" t="s">
        <v>257</v>
      </c>
      <c r="M351" s="13"/>
      <c r="N351" s="205"/>
    </row>
    <row r="352" spans="1:14" s="173" customFormat="1" ht="30" customHeight="1">
      <c r="A352" s="495" t="s">
        <v>27</v>
      </c>
      <c r="B352" s="122">
        <v>20</v>
      </c>
      <c r="C352" s="122">
        <v>20</v>
      </c>
      <c r="D352" s="29">
        <v>20</v>
      </c>
      <c r="E352" s="31">
        <v>0.7</v>
      </c>
      <c r="F352" s="31">
        <v>0.2</v>
      </c>
      <c r="G352" s="31">
        <v>9.4</v>
      </c>
      <c r="H352" s="35">
        <v>41.3</v>
      </c>
      <c r="I352" s="444"/>
      <c r="J352" s="138"/>
      <c r="L352" s="7" t="s">
        <v>37</v>
      </c>
      <c r="M352" s="13">
        <f>B451</f>
        <v>2</v>
      </c>
      <c r="N352" s="174"/>
    </row>
    <row r="353" spans="1:14" s="13" customFormat="1" ht="30" customHeight="1">
      <c r="A353" s="507" t="s">
        <v>77</v>
      </c>
      <c r="B353" s="507"/>
      <c r="C353" s="507"/>
      <c r="D353" s="184">
        <f>D354+275+D389+D408+D417</f>
        <v>855</v>
      </c>
      <c r="E353" s="133">
        <f>E354+E371+E389+E408+E417+E420+E422</f>
        <v>35.099999999999994</v>
      </c>
      <c r="F353" s="133">
        <f>F354+F371+F389+F408+F417+F420+F422</f>
        <v>35.9</v>
      </c>
      <c r="G353" s="133">
        <f>G354+G371+G389+G408+G417+G420+G422</f>
        <v>106.4</v>
      </c>
      <c r="H353" s="133">
        <f>H354+H371+H389+H408+H417+H420+H422</f>
        <v>887.0999999999999</v>
      </c>
      <c r="I353" s="451"/>
      <c r="J353" s="137"/>
      <c r="L353" s="7" t="s">
        <v>38</v>
      </c>
      <c r="M353" s="24">
        <f>C497</f>
        <v>79</v>
      </c>
      <c r="N353" s="20"/>
    </row>
    <row r="354" spans="1:14" s="13" customFormat="1" ht="30" customHeight="1">
      <c r="A354" s="518" t="s">
        <v>332</v>
      </c>
      <c r="B354" s="518"/>
      <c r="C354" s="518"/>
      <c r="D354" s="29">
        <v>100</v>
      </c>
      <c r="E354" s="31">
        <v>5.1</v>
      </c>
      <c r="F354" s="31">
        <v>9.7</v>
      </c>
      <c r="G354" s="31">
        <v>5.2</v>
      </c>
      <c r="H354" s="35">
        <f>G354*4+F354*9+E354*4</f>
        <v>128.5</v>
      </c>
      <c r="I354" s="303" t="s">
        <v>333</v>
      </c>
      <c r="J354" s="139"/>
      <c r="L354" s="7" t="s">
        <v>39</v>
      </c>
      <c r="M354" s="24"/>
      <c r="N354" s="20"/>
    </row>
    <row r="355" spans="1:14" s="13" customFormat="1" ht="30" customHeight="1">
      <c r="A355" s="260" t="s">
        <v>163</v>
      </c>
      <c r="B355" s="69">
        <f>C355*1.05</f>
        <v>31.5</v>
      </c>
      <c r="C355" s="50">
        <v>30</v>
      </c>
      <c r="D355" s="29"/>
      <c r="E355" s="249"/>
      <c r="F355" s="249"/>
      <c r="G355" s="249"/>
      <c r="H355" s="249"/>
      <c r="I355" s="304"/>
      <c r="J355" s="140"/>
      <c r="L355" s="7" t="s">
        <v>334</v>
      </c>
      <c r="N355" s="20"/>
    </row>
    <row r="356" spans="1:14" s="88" customFormat="1" ht="30" customHeight="1">
      <c r="A356" s="72" t="s">
        <v>17</v>
      </c>
      <c r="B356" s="54">
        <f>C356*1.25</f>
        <v>27.5</v>
      </c>
      <c r="C356" s="49">
        <v>22</v>
      </c>
      <c r="D356" s="29"/>
      <c r="E356" s="144"/>
      <c r="F356" s="144"/>
      <c r="G356" s="144"/>
      <c r="H356" s="185"/>
      <c r="I356" s="443"/>
      <c r="J356" s="97"/>
      <c r="L356" s="7" t="s">
        <v>41</v>
      </c>
      <c r="M356" s="24">
        <f>C478+C477</f>
        <v>58</v>
      </c>
      <c r="N356" s="97"/>
    </row>
    <row r="357" spans="1:13" s="13" customFormat="1" ht="30" customHeight="1">
      <c r="A357" s="72" t="s">
        <v>16</v>
      </c>
      <c r="B357" s="54">
        <f>C357*1.33</f>
        <v>29.26</v>
      </c>
      <c r="C357" s="49">
        <v>22</v>
      </c>
      <c r="D357" s="29"/>
      <c r="E357" s="144"/>
      <c r="F357" s="144"/>
      <c r="G357" s="144"/>
      <c r="H357" s="185"/>
      <c r="I357" s="443"/>
      <c r="L357" s="8" t="s">
        <v>42</v>
      </c>
      <c r="M357" s="89">
        <f>+C431</f>
        <v>47</v>
      </c>
    </row>
    <row r="358" spans="1:13" s="13" customFormat="1" ht="30" customHeight="1">
      <c r="A358" s="72" t="s">
        <v>81</v>
      </c>
      <c r="B358" s="49">
        <f>C358*1.25</f>
        <v>20</v>
      </c>
      <c r="C358" s="49">
        <v>16</v>
      </c>
      <c r="D358" s="29"/>
      <c r="E358" s="144"/>
      <c r="F358" s="144"/>
      <c r="G358" s="144"/>
      <c r="H358" s="185"/>
      <c r="I358" s="443"/>
      <c r="L358" s="8" t="s">
        <v>106</v>
      </c>
      <c r="M358" s="89"/>
    </row>
    <row r="359" spans="1:12" s="13" customFormat="1" ht="30" customHeight="1">
      <c r="A359" s="72" t="s">
        <v>16</v>
      </c>
      <c r="B359" s="54">
        <f>C359*1.33</f>
        <v>21.28</v>
      </c>
      <c r="C359" s="49">
        <v>16</v>
      </c>
      <c r="D359" s="29"/>
      <c r="E359" s="144"/>
      <c r="F359" s="144"/>
      <c r="G359" s="144"/>
      <c r="H359" s="185"/>
      <c r="I359" s="443"/>
      <c r="L359" s="8" t="s">
        <v>43</v>
      </c>
    </row>
    <row r="360" spans="1:12" s="13" customFormat="1" ht="30" customHeight="1">
      <c r="A360" s="72" t="s">
        <v>12</v>
      </c>
      <c r="B360" s="49">
        <f>C360*1.33</f>
        <v>29.26</v>
      </c>
      <c r="C360" s="5">
        <v>22</v>
      </c>
      <c r="D360" s="29"/>
      <c r="E360" s="144"/>
      <c r="F360" s="144"/>
      <c r="G360" s="144"/>
      <c r="H360" s="185"/>
      <c r="I360" s="443"/>
      <c r="L360" s="7" t="s">
        <v>44</v>
      </c>
    </row>
    <row r="361" spans="1:13" s="13" customFormat="1" ht="30" customHeight="1">
      <c r="A361" s="72" t="s">
        <v>13</v>
      </c>
      <c r="B361" s="49">
        <f>C361*1.43</f>
        <v>31.459999999999997</v>
      </c>
      <c r="C361" s="5">
        <v>22</v>
      </c>
      <c r="D361" s="29"/>
      <c r="E361" s="144"/>
      <c r="F361" s="144"/>
      <c r="G361" s="144"/>
      <c r="H361" s="185"/>
      <c r="I361" s="443"/>
      <c r="L361" s="60" t="s">
        <v>45</v>
      </c>
      <c r="M361" s="142"/>
    </row>
    <row r="362" spans="1:13" s="13" customFormat="1" ht="30" customHeight="1">
      <c r="A362" s="75" t="s">
        <v>14</v>
      </c>
      <c r="B362" s="49">
        <f>C362*1.54</f>
        <v>33.88</v>
      </c>
      <c r="C362" s="5">
        <v>22</v>
      </c>
      <c r="D362" s="29"/>
      <c r="E362" s="144"/>
      <c r="F362" s="63"/>
      <c r="G362" s="63"/>
      <c r="H362" s="62"/>
      <c r="I362" s="443"/>
      <c r="L362" s="8" t="s">
        <v>46</v>
      </c>
      <c r="M362" s="89">
        <f>C475++C438</f>
        <v>10</v>
      </c>
    </row>
    <row r="363" spans="1:13" s="13" customFormat="1" ht="30" customHeight="1">
      <c r="A363" s="75" t="s">
        <v>15</v>
      </c>
      <c r="B363" s="49">
        <f>C363*1.67</f>
        <v>36.739999999999995</v>
      </c>
      <c r="C363" s="5">
        <v>22</v>
      </c>
      <c r="D363" s="29"/>
      <c r="E363" s="144"/>
      <c r="F363" s="144"/>
      <c r="G363" s="144"/>
      <c r="H363" s="185"/>
      <c r="I363" s="443"/>
      <c r="L363" s="8" t="s">
        <v>47</v>
      </c>
      <c r="M363" s="89">
        <f>C465+C499+C436</f>
        <v>15</v>
      </c>
    </row>
    <row r="364" spans="1:13" s="13" customFormat="1" ht="30" customHeight="1">
      <c r="A364" s="72" t="s">
        <v>18</v>
      </c>
      <c r="B364" s="51">
        <f>C364*1.19</f>
        <v>11.899999999999999</v>
      </c>
      <c r="C364" s="5">
        <v>10</v>
      </c>
      <c r="D364" s="29"/>
      <c r="E364" s="144"/>
      <c r="F364" s="144"/>
      <c r="G364" s="144"/>
      <c r="H364" s="185"/>
      <c r="I364" s="444"/>
      <c r="L364" s="8" t="s">
        <v>48</v>
      </c>
      <c r="M364" s="89">
        <f>+C430+C481</f>
        <v>127.5</v>
      </c>
    </row>
    <row r="365" spans="1:13" s="13" customFormat="1" ht="30" customHeight="1">
      <c r="A365" s="72" t="s">
        <v>11</v>
      </c>
      <c r="B365" s="49">
        <v>5</v>
      </c>
      <c r="C365" s="49">
        <v>5</v>
      </c>
      <c r="D365" s="29"/>
      <c r="E365" s="54"/>
      <c r="F365" s="63"/>
      <c r="G365" s="63"/>
      <c r="H365" s="62"/>
      <c r="I365" s="443"/>
      <c r="L365" s="88"/>
      <c r="M365" s="88"/>
    </row>
    <row r="366" spans="1:13" s="88" customFormat="1" ht="30" customHeight="1">
      <c r="A366" s="508" t="s">
        <v>95</v>
      </c>
      <c r="B366" s="508"/>
      <c r="C366" s="508"/>
      <c r="D366" s="508"/>
      <c r="E366" s="508"/>
      <c r="F366" s="508"/>
      <c r="G366" s="508"/>
      <c r="H366" s="508"/>
      <c r="I366" s="508"/>
      <c r="L366" s="13"/>
      <c r="M366" s="13"/>
    </row>
    <row r="367" spans="1:9" s="13" customFormat="1" ht="30" customHeight="1">
      <c r="A367" s="526" t="s">
        <v>440</v>
      </c>
      <c r="B367" s="526"/>
      <c r="C367" s="526"/>
      <c r="D367" s="29">
        <v>100</v>
      </c>
      <c r="E367" s="31">
        <v>1</v>
      </c>
      <c r="F367" s="31">
        <v>5.1</v>
      </c>
      <c r="G367" s="31">
        <v>3.5</v>
      </c>
      <c r="H367" s="31">
        <f>E367*4+F367*9+G367*4</f>
        <v>63.9</v>
      </c>
      <c r="I367" s="303" t="s">
        <v>441</v>
      </c>
    </row>
    <row r="368" spans="1:9" s="13" customFormat="1" ht="30" customHeight="1">
      <c r="A368" s="79" t="s">
        <v>124</v>
      </c>
      <c r="B368" s="126">
        <f>C368*1.02</f>
        <v>96.9</v>
      </c>
      <c r="C368" s="83">
        <v>95</v>
      </c>
      <c r="D368" s="199"/>
      <c r="E368" s="31"/>
      <c r="F368" s="31"/>
      <c r="G368" s="31"/>
      <c r="H368" s="31"/>
      <c r="I368" s="303"/>
    </row>
    <row r="369" spans="1:9" s="13" customFormat="1" ht="30" customHeight="1">
      <c r="A369" s="80" t="s">
        <v>204</v>
      </c>
      <c r="B369" s="223">
        <f>C369*1.18</f>
        <v>112.1</v>
      </c>
      <c r="C369" s="83">
        <v>95</v>
      </c>
      <c r="D369" s="199"/>
      <c r="E369" s="31"/>
      <c r="F369" s="31"/>
      <c r="G369" s="31"/>
      <c r="H369" s="31"/>
      <c r="I369" s="303"/>
    </row>
    <row r="370" spans="1:9" s="13" customFormat="1" ht="30" customHeight="1">
      <c r="A370" s="418" t="s">
        <v>442</v>
      </c>
      <c r="B370" s="419">
        <v>5</v>
      </c>
      <c r="C370" s="419">
        <v>5</v>
      </c>
      <c r="D370" s="199"/>
      <c r="E370" s="31"/>
      <c r="F370" s="31"/>
      <c r="G370" s="31"/>
      <c r="H370" s="31"/>
      <c r="I370" s="303"/>
    </row>
    <row r="371" spans="1:9" s="13" customFormat="1" ht="30" customHeight="1">
      <c r="A371" s="522" t="s">
        <v>438</v>
      </c>
      <c r="B371" s="523"/>
      <c r="C371" s="524" t="s">
        <v>189</v>
      </c>
      <c r="D371" s="525"/>
      <c r="E371" s="63">
        <v>4.5</v>
      </c>
      <c r="F371" s="63">
        <v>5.5</v>
      </c>
      <c r="G371" s="63">
        <v>10.7</v>
      </c>
      <c r="H371" s="62">
        <f>G371*4+F371*9+E371*4</f>
        <v>110.3</v>
      </c>
      <c r="I371" s="302" t="s">
        <v>439</v>
      </c>
    </row>
    <row r="372" spans="1:9" s="13" customFormat="1" ht="30" customHeight="1">
      <c r="A372" s="78" t="s">
        <v>111</v>
      </c>
      <c r="B372" s="381">
        <f>C372*1.36</f>
        <v>21.76</v>
      </c>
      <c r="C372" s="275">
        <v>16</v>
      </c>
      <c r="D372" s="42"/>
      <c r="E372" s="123"/>
      <c r="F372" s="123"/>
      <c r="G372" s="123"/>
      <c r="H372" s="162"/>
      <c r="I372" s="470"/>
    </row>
    <row r="373" spans="1:9" s="13" customFormat="1" ht="30" customHeight="1">
      <c r="A373" s="78" t="s">
        <v>112</v>
      </c>
      <c r="B373" s="381">
        <f>C373*1.18</f>
        <v>18.88</v>
      </c>
      <c r="C373" s="275">
        <v>16</v>
      </c>
      <c r="D373" s="42"/>
      <c r="E373" s="43"/>
      <c r="F373" s="43"/>
      <c r="G373" s="43"/>
      <c r="H373" s="160"/>
      <c r="I373" s="470"/>
    </row>
    <row r="374" spans="1:9" s="13" customFormat="1" ht="30" customHeight="1">
      <c r="A374" s="80" t="s">
        <v>17</v>
      </c>
      <c r="B374" s="275">
        <f>C374*1.25</f>
        <v>50</v>
      </c>
      <c r="C374" s="275">
        <v>40</v>
      </c>
      <c r="D374" s="50"/>
      <c r="E374" s="144"/>
      <c r="F374" s="144"/>
      <c r="G374" s="144"/>
      <c r="H374" s="122"/>
      <c r="I374" s="417"/>
    </row>
    <row r="375" spans="1:9" s="13" customFormat="1" ht="30" customHeight="1">
      <c r="A375" s="80" t="s">
        <v>16</v>
      </c>
      <c r="B375" s="223">
        <f>C375*1.33</f>
        <v>53.2</v>
      </c>
      <c r="C375" s="275">
        <v>40</v>
      </c>
      <c r="D375" s="50"/>
      <c r="E375" s="144"/>
      <c r="F375" s="144"/>
      <c r="G375" s="148"/>
      <c r="H375" s="271"/>
      <c r="I375" s="417"/>
    </row>
    <row r="376" spans="1:13" s="13" customFormat="1" ht="30" customHeight="1">
      <c r="A376" s="80" t="s">
        <v>75</v>
      </c>
      <c r="B376" s="275">
        <f>C376*1.25</f>
        <v>25</v>
      </c>
      <c r="C376" s="275">
        <v>20</v>
      </c>
      <c r="D376" s="50"/>
      <c r="E376" s="144"/>
      <c r="F376" s="144"/>
      <c r="G376" s="144"/>
      <c r="H376" s="161"/>
      <c r="I376" s="417"/>
      <c r="L376" s="88"/>
      <c r="M376" s="88"/>
    </row>
    <row r="377" spans="1:9" s="13" customFormat="1" ht="30" customHeight="1">
      <c r="A377" s="80" t="s">
        <v>12</v>
      </c>
      <c r="B377" s="223">
        <f>C377*1.33</f>
        <v>26.6</v>
      </c>
      <c r="C377" s="275">
        <v>20</v>
      </c>
      <c r="D377" s="50"/>
      <c r="E377" s="144"/>
      <c r="F377" s="144"/>
      <c r="G377" s="148"/>
      <c r="H377" s="161"/>
      <c r="I377" s="417"/>
    </row>
    <row r="378" spans="1:9" s="13" customFormat="1" ht="30" customHeight="1">
      <c r="A378" s="80" t="s">
        <v>13</v>
      </c>
      <c r="B378" s="223">
        <f>C378*1.43</f>
        <v>28.599999999999998</v>
      </c>
      <c r="C378" s="275">
        <v>20</v>
      </c>
      <c r="D378" s="50"/>
      <c r="E378" s="144"/>
      <c r="F378" s="144"/>
      <c r="G378" s="148"/>
      <c r="H378" s="161"/>
      <c r="I378" s="417"/>
    </row>
    <row r="379" spans="1:13" s="88" customFormat="1" ht="30" customHeight="1">
      <c r="A379" s="79" t="s">
        <v>14</v>
      </c>
      <c r="B379" s="223">
        <f>C379*1.54</f>
        <v>30.8</v>
      </c>
      <c r="C379" s="275">
        <v>20</v>
      </c>
      <c r="D379" s="50"/>
      <c r="E379" s="144"/>
      <c r="F379" s="144"/>
      <c r="G379" s="148"/>
      <c r="H379" s="161"/>
      <c r="I379" s="417"/>
      <c r="L379" s="13"/>
      <c r="M379" s="13"/>
    </row>
    <row r="380" spans="1:9" s="13" customFormat="1" ht="30" customHeight="1">
      <c r="A380" s="79" t="s">
        <v>15</v>
      </c>
      <c r="B380" s="223">
        <f>C380*1.67</f>
        <v>33.4</v>
      </c>
      <c r="C380" s="275">
        <v>20</v>
      </c>
      <c r="D380" s="50"/>
      <c r="E380" s="121"/>
      <c r="F380" s="121"/>
      <c r="G380" s="121"/>
      <c r="H380" s="62"/>
      <c r="I380" s="221"/>
    </row>
    <row r="381" spans="1:9" s="142" customFormat="1" ht="30" customHeight="1">
      <c r="A381" s="80" t="s">
        <v>81</v>
      </c>
      <c r="B381" s="223">
        <f>C381*1.25</f>
        <v>15.625</v>
      </c>
      <c r="C381" s="275">
        <v>12.5</v>
      </c>
      <c r="D381" s="50"/>
      <c r="E381" s="144"/>
      <c r="F381" s="144"/>
      <c r="G381" s="144"/>
      <c r="H381" s="185"/>
      <c r="I381" s="221"/>
    </row>
    <row r="382" spans="1:13" s="13" customFormat="1" ht="30" customHeight="1">
      <c r="A382" s="80" t="s">
        <v>16</v>
      </c>
      <c r="B382" s="223">
        <f>C382*1.33</f>
        <v>16.625</v>
      </c>
      <c r="C382" s="275">
        <v>12.5</v>
      </c>
      <c r="D382" s="50"/>
      <c r="E382" s="144"/>
      <c r="F382" s="144"/>
      <c r="G382" s="144"/>
      <c r="H382" s="185"/>
      <c r="I382" s="221"/>
      <c r="L382" s="173"/>
      <c r="M382" s="173"/>
    </row>
    <row r="383" spans="1:9" s="13" customFormat="1" ht="30" customHeight="1">
      <c r="A383" s="80" t="s">
        <v>18</v>
      </c>
      <c r="B383" s="126">
        <f>C383*1.19</f>
        <v>11.899999999999999</v>
      </c>
      <c r="C383" s="275">
        <v>10</v>
      </c>
      <c r="D383" s="50"/>
      <c r="E383" s="144"/>
      <c r="F383" s="144"/>
      <c r="G383" s="144"/>
      <c r="H383" s="185"/>
      <c r="I383" s="221"/>
    </row>
    <row r="384" spans="1:9" s="13" customFormat="1" ht="30" customHeight="1">
      <c r="A384" s="80" t="s">
        <v>72</v>
      </c>
      <c r="B384" s="223">
        <v>7</v>
      </c>
      <c r="C384" s="275">
        <v>7</v>
      </c>
      <c r="D384" s="50"/>
      <c r="E384" s="144"/>
      <c r="F384" s="144"/>
      <c r="G384" s="144"/>
      <c r="H384" s="185"/>
      <c r="I384" s="221"/>
    </row>
    <row r="385" spans="1:9" s="13" customFormat="1" ht="30" customHeight="1">
      <c r="A385" s="130" t="s">
        <v>19</v>
      </c>
      <c r="B385" s="382">
        <v>5</v>
      </c>
      <c r="C385" s="382">
        <v>5</v>
      </c>
      <c r="D385" s="122"/>
      <c r="E385" s="144"/>
      <c r="F385" s="144"/>
      <c r="G385" s="144"/>
      <c r="H385" s="185"/>
      <c r="I385" s="221"/>
    </row>
    <row r="386" spans="1:13" s="13" customFormat="1" ht="30" customHeight="1">
      <c r="A386" s="130" t="s">
        <v>4</v>
      </c>
      <c r="B386" s="382">
        <v>1</v>
      </c>
      <c r="C386" s="382">
        <v>1</v>
      </c>
      <c r="D386" s="122"/>
      <c r="E386" s="144"/>
      <c r="F386" s="144"/>
      <c r="G386" s="144"/>
      <c r="H386" s="185"/>
      <c r="I386" s="221"/>
      <c r="L386" s="88"/>
      <c r="M386" s="88"/>
    </row>
    <row r="387" spans="1:9" s="13" customFormat="1" ht="30" customHeight="1">
      <c r="A387" s="80" t="s">
        <v>76</v>
      </c>
      <c r="B387" s="275">
        <v>5</v>
      </c>
      <c r="C387" s="275">
        <v>5</v>
      </c>
      <c r="D387" s="5"/>
      <c r="E387" s="144"/>
      <c r="F387" s="144"/>
      <c r="G387" s="144"/>
      <c r="H387" s="185"/>
      <c r="I387" s="221"/>
    </row>
    <row r="388" spans="1:9" s="13" customFormat="1" ht="30" customHeight="1">
      <c r="A388" s="79" t="s">
        <v>97</v>
      </c>
      <c r="B388" s="383">
        <v>0.2</v>
      </c>
      <c r="C388" s="383">
        <v>0.2</v>
      </c>
      <c r="D388" s="42"/>
      <c r="E388" s="43"/>
      <c r="F388" s="43"/>
      <c r="G388" s="43"/>
      <c r="H388" s="160"/>
      <c r="I388" s="470"/>
    </row>
    <row r="389" spans="1:13" s="88" customFormat="1" ht="30" customHeight="1">
      <c r="A389" s="514" t="s">
        <v>335</v>
      </c>
      <c r="B389" s="514"/>
      <c r="C389" s="514"/>
      <c r="D389" s="125">
        <v>100</v>
      </c>
      <c r="E389" s="64">
        <v>16.2</v>
      </c>
      <c r="F389" s="64">
        <v>15.1</v>
      </c>
      <c r="G389" s="63">
        <v>0.7</v>
      </c>
      <c r="H389" s="62">
        <f>G389*4+F389*9+E389*4</f>
        <v>203.5</v>
      </c>
      <c r="I389" s="444" t="s">
        <v>336</v>
      </c>
      <c r="L389" s="13"/>
      <c r="M389" s="13"/>
    </row>
    <row r="390" spans="1:9" s="13" customFormat="1" ht="30" customHeight="1">
      <c r="A390" s="73" t="s">
        <v>159</v>
      </c>
      <c r="B390" s="69">
        <f>C390*1.12</f>
        <v>162.4</v>
      </c>
      <c r="C390" s="185">
        <v>145</v>
      </c>
      <c r="D390" s="122"/>
      <c r="E390" s="144"/>
      <c r="F390" s="144"/>
      <c r="G390" s="144"/>
      <c r="H390" s="185"/>
      <c r="I390" s="443"/>
    </row>
    <row r="391" spans="1:9" s="13" customFormat="1" ht="30" customHeight="1">
      <c r="A391" s="76" t="s">
        <v>161</v>
      </c>
      <c r="B391" s="38">
        <f>C391*1.05</f>
        <v>152.25</v>
      </c>
      <c r="C391" s="185">
        <v>145</v>
      </c>
      <c r="D391" s="122"/>
      <c r="E391" s="144"/>
      <c r="F391" s="144"/>
      <c r="G391" s="144"/>
      <c r="H391" s="185"/>
      <c r="I391" s="443"/>
    </row>
    <row r="392" spans="1:9" s="13" customFormat="1" ht="30.75" customHeight="1">
      <c r="A392" s="164" t="s">
        <v>187</v>
      </c>
      <c r="B392" s="38">
        <f>C392*1.054</f>
        <v>152.83</v>
      </c>
      <c r="C392" s="185">
        <v>145</v>
      </c>
      <c r="D392" s="235"/>
      <c r="E392" s="227"/>
      <c r="F392" s="144"/>
      <c r="G392" s="144"/>
      <c r="H392" s="228"/>
      <c r="I392" s="458"/>
    </row>
    <row r="393" spans="1:9" s="13" customFormat="1" ht="30.75" customHeight="1">
      <c r="A393" s="164" t="s">
        <v>160</v>
      </c>
      <c r="B393" s="69">
        <f>C393*1.048</f>
        <v>143.576</v>
      </c>
      <c r="C393" s="185">
        <v>137</v>
      </c>
      <c r="D393" s="235"/>
      <c r="E393" s="144"/>
      <c r="F393" s="144"/>
      <c r="G393" s="144"/>
      <c r="H393" s="144"/>
      <c r="I393" s="443"/>
    </row>
    <row r="394" spans="1:13" s="13" customFormat="1" ht="30.75" customHeight="1">
      <c r="A394" s="130" t="s">
        <v>72</v>
      </c>
      <c r="B394" s="122">
        <v>5</v>
      </c>
      <c r="C394" s="122">
        <v>5</v>
      </c>
      <c r="D394" s="50"/>
      <c r="E394" s="55"/>
      <c r="F394" s="55"/>
      <c r="G394" s="55"/>
      <c r="H394" s="50"/>
      <c r="I394" s="310"/>
      <c r="L394" s="88"/>
      <c r="M394" s="88"/>
    </row>
    <row r="395" spans="1:9" s="13" customFormat="1" ht="30.75" customHeight="1">
      <c r="A395" s="130" t="s">
        <v>338</v>
      </c>
      <c r="B395" s="144">
        <f>C395*1.28</f>
        <v>0.64</v>
      </c>
      <c r="C395" s="122">
        <v>0.5</v>
      </c>
      <c r="D395" s="50"/>
      <c r="E395" s="55"/>
      <c r="F395" s="55"/>
      <c r="G395" s="55"/>
      <c r="H395" s="50"/>
      <c r="I395" s="310"/>
    </row>
    <row r="396" spans="1:13" s="13" customFormat="1" ht="30.75" customHeight="1">
      <c r="A396" s="80" t="s">
        <v>11</v>
      </c>
      <c r="B396" s="51">
        <v>2</v>
      </c>
      <c r="C396" s="5">
        <v>2</v>
      </c>
      <c r="D396" s="5"/>
      <c r="E396" s="144"/>
      <c r="F396" s="144"/>
      <c r="G396" s="144"/>
      <c r="H396" s="185"/>
      <c r="I396" s="444"/>
      <c r="L396" s="88"/>
      <c r="M396" s="88"/>
    </row>
    <row r="397" spans="1:27" s="13" customFormat="1" ht="30.75" customHeight="1">
      <c r="A397" s="508" t="s">
        <v>95</v>
      </c>
      <c r="B397" s="508"/>
      <c r="C397" s="508"/>
      <c r="D397" s="508"/>
      <c r="E397" s="508"/>
      <c r="F397" s="508"/>
      <c r="G397" s="508"/>
      <c r="H397" s="508"/>
      <c r="I397" s="508"/>
      <c r="X397" s="205"/>
      <c r="Y397" s="205"/>
      <c r="Z397" s="205"/>
      <c r="AA397" s="205"/>
    </row>
    <row r="398" spans="1:27" s="13" customFormat="1" ht="30.75" customHeight="1">
      <c r="A398" s="518" t="s">
        <v>294</v>
      </c>
      <c r="B398" s="518"/>
      <c r="C398" s="518"/>
      <c r="D398" s="27" t="s">
        <v>49</v>
      </c>
      <c r="E398" s="63">
        <v>14.8</v>
      </c>
      <c r="F398" s="63">
        <v>13.9</v>
      </c>
      <c r="G398" s="63">
        <v>12</v>
      </c>
      <c r="H398" s="62">
        <f>G398*4+F398*9+E398*4</f>
        <v>232.3</v>
      </c>
      <c r="I398" s="303" t="s">
        <v>290</v>
      </c>
      <c r="P398" s="539"/>
      <c r="Q398" s="539"/>
      <c r="R398" s="539"/>
      <c r="S398" s="312"/>
      <c r="T398" s="240"/>
      <c r="U398" s="240"/>
      <c r="V398" s="240"/>
      <c r="W398" s="313"/>
      <c r="X398" s="390"/>
      <c r="Y398" s="389"/>
      <c r="Z398" s="436"/>
      <c r="AA398" s="205"/>
    </row>
    <row r="399" spans="1:31" s="88" customFormat="1" ht="30.75" customHeight="1">
      <c r="A399" s="73" t="s">
        <v>111</v>
      </c>
      <c r="B399" s="38">
        <f>C399*1.36</f>
        <v>100.64</v>
      </c>
      <c r="C399" s="5">
        <v>74</v>
      </c>
      <c r="D399" s="50"/>
      <c r="E399" s="144"/>
      <c r="F399" s="144"/>
      <c r="G399" s="144"/>
      <c r="H399" s="144"/>
      <c r="I399" s="443"/>
      <c r="L399" s="13"/>
      <c r="M399" s="13"/>
      <c r="P399" s="314"/>
      <c r="Q399" s="92"/>
      <c r="R399" s="92"/>
      <c r="S399" s="92"/>
      <c r="T399" s="315"/>
      <c r="U399" s="315"/>
      <c r="V399" s="315"/>
      <c r="W399" s="315"/>
      <c r="X399" s="390"/>
      <c r="Y399" s="389"/>
      <c r="Z399" s="436"/>
      <c r="AA399" s="205"/>
      <c r="AB399" s="13"/>
      <c r="AC399" s="13"/>
      <c r="AD399" s="13"/>
      <c r="AE399" s="13"/>
    </row>
    <row r="400" spans="1:27" s="13" customFormat="1" ht="30.75" customHeight="1">
      <c r="A400" s="73" t="s">
        <v>112</v>
      </c>
      <c r="B400" s="38">
        <f>C400*1.18</f>
        <v>87.32</v>
      </c>
      <c r="C400" s="5">
        <f>C399</f>
        <v>74</v>
      </c>
      <c r="D400" s="242"/>
      <c r="E400" s="43"/>
      <c r="F400" s="43"/>
      <c r="G400" s="43"/>
      <c r="H400" s="160"/>
      <c r="I400" s="449"/>
      <c r="P400" s="316"/>
      <c r="Q400" s="437"/>
      <c r="R400" s="208"/>
      <c r="S400" s="438"/>
      <c r="T400" s="439"/>
      <c r="U400" s="439"/>
      <c r="V400" s="439"/>
      <c r="W400" s="438"/>
      <c r="X400" s="390"/>
      <c r="Y400" s="389"/>
      <c r="Z400" s="436"/>
      <c r="AA400" s="205"/>
    </row>
    <row r="401" spans="1:27" s="13" customFormat="1" ht="30.75" customHeight="1">
      <c r="A401" s="72" t="s">
        <v>10</v>
      </c>
      <c r="B401" s="5">
        <v>18</v>
      </c>
      <c r="C401" s="5">
        <v>18</v>
      </c>
      <c r="D401" s="158"/>
      <c r="E401" s="378"/>
      <c r="F401" s="63"/>
      <c r="G401" s="63"/>
      <c r="H401" s="62"/>
      <c r="I401" s="444"/>
      <c r="P401" s="316"/>
      <c r="Q401" s="317"/>
      <c r="R401" s="208"/>
      <c r="S401" s="208"/>
      <c r="T401" s="317"/>
      <c r="U401" s="317"/>
      <c r="V401" s="317"/>
      <c r="W401" s="437"/>
      <c r="X401" s="391"/>
      <c r="Y401" s="389"/>
      <c r="Z401" s="436"/>
      <c r="AA401" s="205"/>
    </row>
    <row r="402" spans="1:27" s="13" customFormat="1" ht="30.75" customHeight="1">
      <c r="A402" s="124" t="s">
        <v>293</v>
      </c>
      <c r="B402" s="122">
        <v>12</v>
      </c>
      <c r="C402" s="122">
        <v>12</v>
      </c>
      <c r="D402" s="493"/>
      <c r="E402" s="378"/>
      <c r="F402" s="144"/>
      <c r="G402" s="144"/>
      <c r="H402" s="185"/>
      <c r="I402" s="443"/>
      <c r="P402" s="318"/>
      <c r="Q402" s="319"/>
      <c r="R402" s="92"/>
      <c r="S402" s="92"/>
      <c r="T402" s="320"/>
      <c r="U402" s="320"/>
      <c r="V402" s="320"/>
      <c r="W402" s="319"/>
      <c r="X402" s="391"/>
      <c r="Y402" s="392"/>
      <c r="Z402" s="436"/>
      <c r="AA402" s="205"/>
    </row>
    <row r="403" spans="1:31" s="88" customFormat="1" ht="30.75" customHeight="1">
      <c r="A403" s="75" t="s">
        <v>18</v>
      </c>
      <c r="B403" s="51">
        <f>C403*1.19</f>
        <v>9.52</v>
      </c>
      <c r="C403" s="50">
        <v>8</v>
      </c>
      <c r="D403" s="158"/>
      <c r="E403" s="378"/>
      <c r="F403" s="144"/>
      <c r="G403" s="144"/>
      <c r="H403" s="185"/>
      <c r="I403" s="443"/>
      <c r="L403" s="13"/>
      <c r="M403" s="13"/>
      <c r="P403" s="316"/>
      <c r="Q403" s="208"/>
      <c r="R403" s="208"/>
      <c r="S403" s="208"/>
      <c r="T403" s="317"/>
      <c r="U403" s="317"/>
      <c r="V403" s="317"/>
      <c r="W403" s="208"/>
      <c r="X403" s="391"/>
      <c r="Y403" s="393"/>
      <c r="Z403" s="436"/>
      <c r="AA403" s="205"/>
      <c r="AB403" s="13"/>
      <c r="AC403" s="13"/>
      <c r="AD403" s="13"/>
      <c r="AE403" s="13"/>
    </row>
    <row r="404" spans="1:27" s="142" customFormat="1" ht="30.75" customHeight="1">
      <c r="A404" s="80" t="s">
        <v>109</v>
      </c>
      <c r="B404" s="233">
        <v>4</v>
      </c>
      <c r="C404" s="233">
        <v>4</v>
      </c>
      <c r="D404" s="252"/>
      <c r="E404" s="55"/>
      <c r="F404" s="55"/>
      <c r="G404" s="55"/>
      <c r="H404" s="51"/>
      <c r="I404" s="465"/>
      <c r="L404" s="13"/>
      <c r="M404" s="13"/>
      <c r="X404" s="205"/>
      <c r="Y404" s="205"/>
      <c r="Z404" s="205"/>
      <c r="AA404" s="205"/>
    </row>
    <row r="405" spans="1:13" s="88" customFormat="1" ht="30.75" customHeight="1">
      <c r="A405" s="80" t="s">
        <v>202</v>
      </c>
      <c r="B405" s="233">
        <v>10</v>
      </c>
      <c r="C405" s="233">
        <v>10</v>
      </c>
      <c r="D405" s="252"/>
      <c r="E405" s="55"/>
      <c r="F405" s="55"/>
      <c r="G405" s="55"/>
      <c r="H405" s="51"/>
      <c r="I405" s="465"/>
      <c r="L405" s="13"/>
      <c r="M405" s="13"/>
    </row>
    <row r="406" spans="1:10" s="13" customFormat="1" ht="30.75" customHeight="1">
      <c r="A406" s="75" t="s">
        <v>11</v>
      </c>
      <c r="B406" s="5">
        <v>2</v>
      </c>
      <c r="C406" s="5">
        <v>2</v>
      </c>
      <c r="D406" s="158"/>
      <c r="E406" s="378"/>
      <c r="F406" s="144"/>
      <c r="G406" s="144"/>
      <c r="H406" s="185"/>
      <c r="I406" s="443"/>
      <c r="J406" s="2"/>
    </row>
    <row r="407" spans="1:10" s="13" customFormat="1" ht="30.75" customHeight="1">
      <c r="A407" s="124" t="s">
        <v>55</v>
      </c>
      <c r="B407" s="122">
        <v>5</v>
      </c>
      <c r="C407" s="122">
        <v>5</v>
      </c>
      <c r="D407" s="493"/>
      <c r="E407" s="144"/>
      <c r="F407" s="144"/>
      <c r="G407" s="144"/>
      <c r="H407" s="185"/>
      <c r="I407" s="443"/>
      <c r="J407" s="2"/>
    </row>
    <row r="408" spans="1:13" s="88" customFormat="1" ht="30.75" customHeight="1">
      <c r="A408" s="521" t="s">
        <v>337</v>
      </c>
      <c r="B408" s="521"/>
      <c r="C408" s="521"/>
      <c r="D408" s="61">
        <v>180</v>
      </c>
      <c r="E408" s="63">
        <v>3.7</v>
      </c>
      <c r="F408" s="63">
        <v>4.7</v>
      </c>
      <c r="G408" s="63">
        <v>14.9</v>
      </c>
      <c r="H408" s="62">
        <f>E408*4+F408*9+G408*4</f>
        <v>116.70000000000002</v>
      </c>
      <c r="I408" s="305" t="s">
        <v>339</v>
      </c>
      <c r="J408" s="25"/>
      <c r="L408" s="13"/>
      <c r="M408" s="13"/>
    </row>
    <row r="409" spans="1:10" s="88" customFormat="1" ht="30.75" customHeight="1">
      <c r="A409" s="124" t="s">
        <v>75</v>
      </c>
      <c r="B409" s="185">
        <f>C409*1.25</f>
        <v>258</v>
      </c>
      <c r="C409" s="185">
        <v>206.4</v>
      </c>
      <c r="D409" s="122"/>
      <c r="E409" s="144"/>
      <c r="F409" s="144"/>
      <c r="G409" s="144"/>
      <c r="H409" s="144"/>
      <c r="I409" s="305"/>
      <c r="J409" s="25"/>
    </row>
    <row r="410" spans="1:13" s="25" customFormat="1" ht="31.5" customHeight="1">
      <c r="A410" s="124" t="s">
        <v>11</v>
      </c>
      <c r="B410" s="185">
        <v>5</v>
      </c>
      <c r="C410" s="185">
        <v>5</v>
      </c>
      <c r="D410" s="122"/>
      <c r="E410" s="144"/>
      <c r="F410" s="144"/>
      <c r="G410" s="144"/>
      <c r="H410" s="144"/>
      <c r="I410" s="302"/>
      <c r="L410" s="13"/>
      <c r="M410" s="13"/>
    </row>
    <row r="411" spans="1:13" s="25" customFormat="1" ht="31.5" customHeight="1">
      <c r="A411" s="124" t="s">
        <v>81</v>
      </c>
      <c r="B411" s="144">
        <f>C411*1.25</f>
        <v>12.5</v>
      </c>
      <c r="C411" s="122">
        <v>10</v>
      </c>
      <c r="D411" s="122"/>
      <c r="E411" s="144"/>
      <c r="F411" s="144"/>
      <c r="G411" s="144"/>
      <c r="H411" s="144"/>
      <c r="I411" s="471"/>
      <c r="L411" s="142"/>
      <c r="M411" s="142"/>
    </row>
    <row r="412" spans="1:13" s="25" customFormat="1" ht="31.5" customHeight="1">
      <c r="A412" s="130" t="s">
        <v>16</v>
      </c>
      <c r="B412" s="144">
        <f>C412*1.33</f>
        <v>13.3</v>
      </c>
      <c r="C412" s="122">
        <v>10</v>
      </c>
      <c r="D412" s="122"/>
      <c r="E412" s="144"/>
      <c r="F412" s="63"/>
      <c r="G412" s="63"/>
      <c r="H412" s="63"/>
      <c r="I412" s="497"/>
      <c r="L412" s="13"/>
      <c r="M412" s="13"/>
    </row>
    <row r="413" spans="1:13" s="2" customFormat="1" ht="31.5" customHeight="1">
      <c r="A413" s="124" t="s">
        <v>18</v>
      </c>
      <c r="B413" s="185">
        <f>C413*1.19</f>
        <v>9.52</v>
      </c>
      <c r="C413" s="122">
        <v>8</v>
      </c>
      <c r="D413" s="122"/>
      <c r="E413" s="144"/>
      <c r="F413" s="63"/>
      <c r="G413" s="63"/>
      <c r="H413" s="63"/>
      <c r="I413" s="455"/>
      <c r="L413" s="13"/>
      <c r="M413" s="13"/>
    </row>
    <row r="414" spans="1:13" s="2" customFormat="1" ht="31.5" customHeight="1">
      <c r="A414" s="197" t="s">
        <v>72</v>
      </c>
      <c r="B414" s="181">
        <v>4</v>
      </c>
      <c r="C414" s="181">
        <v>4</v>
      </c>
      <c r="D414" s="122"/>
      <c r="E414" s="149"/>
      <c r="F414" s="149"/>
      <c r="G414" s="149"/>
      <c r="H414" s="182"/>
      <c r="I414" s="452"/>
      <c r="L414" s="13"/>
      <c r="M414" s="13"/>
    </row>
    <row r="415" spans="1:13" s="2" customFormat="1" ht="31.5" customHeight="1">
      <c r="A415" s="124" t="s">
        <v>21</v>
      </c>
      <c r="B415" s="185">
        <v>3</v>
      </c>
      <c r="C415" s="185">
        <v>3</v>
      </c>
      <c r="D415" s="122"/>
      <c r="E415" s="144"/>
      <c r="F415" s="63"/>
      <c r="G415" s="63"/>
      <c r="H415" s="62"/>
      <c r="I415" s="444"/>
      <c r="L415" s="13"/>
      <c r="M415" s="13"/>
    </row>
    <row r="416" spans="1:13" s="2" customFormat="1" ht="31.5" customHeight="1">
      <c r="A416" s="124" t="s">
        <v>4</v>
      </c>
      <c r="B416" s="122">
        <v>3</v>
      </c>
      <c r="C416" s="122">
        <v>3</v>
      </c>
      <c r="D416" s="122"/>
      <c r="E416" s="149"/>
      <c r="F416" s="121"/>
      <c r="G416" s="121"/>
      <c r="H416" s="114"/>
      <c r="I416" s="472"/>
      <c r="L416" s="13"/>
      <c r="M416" s="13"/>
    </row>
    <row r="417" spans="1:13" s="2" customFormat="1" ht="31.5" customHeight="1">
      <c r="A417" s="538" t="s">
        <v>340</v>
      </c>
      <c r="B417" s="538"/>
      <c r="C417" s="538"/>
      <c r="D417" s="36">
        <v>200</v>
      </c>
      <c r="E417" s="37">
        <v>1</v>
      </c>
      <c r="F417" s="37">
        <v>0</v>
      </c>
      <c r="G417" s="37">
        <v>25.2</v>
      </c>
      <c r="H417" s="62">
        <f>G417*4+F417*9+E417*4</f>
        <v>104.8</v>
      </c>
      <c r="I417" s="303" t="s">
        <v>292</v>
      </c>
      <c r="L417" s="13"/>
      <c r="M417" s="13"/>
    </row>
    <row r="418" spans="1:13" s="2" customFormat="1" ht="31.5" customHeight="1">
      <c r="A418" s="75" t="s">
        <v>98</v>
      </c>
      <c r="B418" s="50">
        <v>25</v>
      </c>
      <c r="C418" s="50">
        <v>25</v>
      </c>
      <c r="D418" s="50"/>
      <c r="E418" s="55"/>
      <c r="F418" s="55"/>
      <c r="G418" s="55"/>
      <c r="H418" s="55"/>
      <c r="I418" s="465"/>
      <c r="L418" s="13"/>
      <c r="M418" s="13"/>
    </row>
    <row r="419" spans="1:13" s="2" customFormat="1" ht="31.5" customHeight="1">
      <c r="A419" s="75" t="s">
        <v>4</v>
      </c>
      <c r="B419" s="50">
        <v>10</v>
      </c>
      <c r="C419" s="50">
        <v>10</v>
      </c>
      <c r="D419" s="50"/>
      <c r="E419" s="55"/>
      <c r="F419" s="55"/>
      <c r="G419" s="55"/>
      <c r="H419" s="55"/>
      <c r="I419" s="473"/>
      <c r="L419" s="88"/>
      <c r="M419" s="88"/>
    </row>
    <row r="420" spans="1:13" s="2" customFormat="1" ht="31.5" customHeight="1">
      <c r="A420" s="494" t="s">
        <v>20</v>
      </c>
      <c r="B420" s="181">
        <v>60</v>
      </c>
      <c r="C420" s="181">
        <v>60</v>
      </c>
      <c r="D420" s="114">
        <v>60</v>
      </c>
      <c r="E420" s="121">
        <v>2.8</v>
      </c>
      <c r="F420" s="121">
        <v>0.6</v>
      </c>
      <c r="G420" s="121">
        <v>26.2</v>
      </c>
      <c r="H420" s="157">
        <v>122</v>
      </c>
      <c r="I420" s="444"/>
      <c r="L420" s="13"/>
      <c r="M420" s="13"/>
    </row>
    <row r="421" spans="1:13" s="2" customFormat="1" ht="31.5" customHeight="1">
      <c r="A421" s="504" t="s">
        <v>100</v>
      </c>
      <c r="B421" s="504"/>
      <c r="C421" s="504"/>
      <c r="D421" s="114">
        <v>60</v>
      </c>
      <c r="E421" s="144"/>
      <c r="F421" s="144"/>
      <c r="G421" s="144"/>
      <c r="H421" s="144"/>
      <c r="I421" s="443"/>
      <c r="J421" s="25"/>
      <c r="L421" s="13"/>
      <c r="M421" s="13"/>
    </row>
    <row r="422" spans="1:13" s="2" customFormat="1" ht="31.5" customHeight="1">
      <c r="A422" s="495" t="s">
        <v>27</v>
      </c>
      <c r="B422" s="122">
        <v>50</v>
      </c>
      <c r="C422" s="122">
        <v>50</v>
      </c>
      <c r="D422" s="61">
        <v>50</v>
      </c>
      <c r="E422" s="63">
        <v>1.8</v>
      </c>
      <c r="F422" s="63">
        <v>0.3</v>
      </c>
      <c r="G422" s="63">
        <v>23.5</v>
      </c>
      <c r="H422" s="62">
        <v>101.30000000000001</v>
      </c>
      <c r="I422" s="444"/>
      <c r="L422" s="13"/>
      <c r="M422" s="13"/>
    </row>
    <row r="423" spans="1:13" s="2" customFormat="1" ht="31.5" customHeight="1">
      <c r="A423" s="505" t="s">
        <v>24</v>
      </c>
      <c r="B423" s="505"/>
      <c r="C423" s="505"/>
      <c r="D423" s="505"/>
      <c r="E423" s="153">
        <f>+E353+E314</f>
        <v>55.94</v>
      </c>
      <c r="F423" s="153">
        <f>+F353+F314</f>
        <v>55.35999999999999</v>
      </c>
      <c r="G423" s="153">
        <f>+G353+G314</f>
        <v>188.82000000000002</v>
      </c>
      <c r="H423" s="153">
        <f>+H353+H314</f>
        <v>1470.9799999999998</v>
      </c>
      <c r="I423" s="467"/>
      <c r="L423" s="13"/>
      <c r="M423" s="13"/>
    </row>
    <row r="424" spans="1:13" s="2" customFormat="1" ht="31.5" customHeight="1">
      <c r="A424" s="537" t="s">
        <v>94</v>
      </c>
      <c r="B424" s="537"/>
      <c r="C424" s="537"/>
      <c r="D424" s="537"/>
      <c r="E424" s="537"/>
      <c r="F424" s="537"/>
      <c r="G424" s="537"/>
      <c r="H424" s="537"/>
      <c r="I424" s="537"/>
      <c r="J424" s="13"/>
      <c r="K424" s="13"/>
      <c r="L424" s="13"/>
      <c r="M424" s="13"/>
    </row>
    <row r="425" spans="1:11" s="25" customFormat="1" ht="30" customHeight="1">
      <c r="A425" s="515" t="s">
        <v>0</v>
      </c>
      <c r="B425" s="517" t="s">
        <v>6</v>
      </c>
      <c r="C425" s="517" t="s">
        <v>7</v>
      </c>
      <c r="D425" s="515" t="s">
        <v>5</v>
      </c>
      <c r="E425" s="515"/>
      <c r="F425" s="515"/>
      <c r="G425" s="515"/>
      <c r="H425" s="515"/>
      <c r="I425" s="515"/>
      <c r="J425" s="13"/>
      <c r="K425" s="13"/>
    </row>
    <row r="426" spans="1:10" s="2" customFormat="1" ht="30" customHeight="1">
      <c r="A426" s="515"/>
      <c r="B426" s="517"/>
      <c r="C426" s="517"/>
      <c r="D426" s="517" t="s">
        <v>8</v>
      </c>
      <c r="E426" s="519" t="s">
        <v>1</v>
      </c>
      <c r="F426" s="519" t="s">
        <v>2</v>
      </c>
      <c r="G426" s="519" t="s">
        <v>9</v>
      </c>
      <c r="H426" s="532" t="s">
        <v>3</v>
      </c>
      <c r="I426" s="513" t="s">
        <v>245</v>
      </c>
      <c r="J426" s="13"/>
    </row>
    <row r="427" spans="1:10" s="2" customFormat="1" ht="30" customHeight="1">
      <c r="A427" s="515"/>
      <c r="B427" s="517"/>
      <c r="C427" s="517"/>
      <c r="D427" s="517"/>
      <c r="E427" s="519"/>
      <c r="F427" s="519"/>
      <c r="G427" s="519"/>
      <c r="H427" s="532"/>
      <c r="I427" s="513"/>
      <c r="J427" s="13"/>
    </row>
    <row r="428" spans="1:9" s="88" customFormat="1" ht="30" customHeight="1">
      <c r="A428" s="507" t="s">
        <v>132</v>
      </c>
      <c r="B428" s="507"/>
      <c r="C428" s="507"/>
      <c r="D428" s="156">
        <f>D429+60+D450+D454</f>
        <v>620</v>
      </c>
      <c r="E428" s="133">
        <f>E429+E447+E450+E453+E454</f>
        <v>21.4</v>
      </c>
      <c r="F428" s="133">
        <f>F429+F447+F450+F453+F454</f>
        <v>19.900000000000002</v>
      </c>
      <c r="G428" s="133">
        <f>G429+G447+G450+G453+G454</f>
        <v>87.1</v>
      </c>
      <c r="H428" s="154">
        <f>H429+H447+H450+H453+H454</f>
        <v>615.7</v>
      </c>
      <c r="I428" s="451"/>
    </row>
    <row r="429" spans="1:9" s="88" customFormat="1" ht="30" customHeight="1">
      <c r="A429" s="509" t="s">
        <v>344</v>
      </c>
      <c r="B429" s="509"/>
      <c r="C429" s="509"/>
      <c r="D429" s="29">
        <v>200</v>
      </c>
      <c r="E429" s="63">
        <v>16.8</v>
      </c>
      <c r="F429" s="63">
        <v>18.9</v>
      </c>
      <c r="G429" s="63">
        <v>4.6</v>
      </c>
      <c r="H429" s="62">
        <f>G429*4+F429*9+E429*4</f>
        <v>255.7</v>
      </c>
      <c r="I429" s="444" t="s">
        <v>341</v>
      </c>
    </row>
    <row r="430" spans="1:9" s="88" customFormat="1" ht="30" customHeight="1">
      <c r="A430" s="80" t="s">
        <v>109</v>
      </c>
      <c r="B430" s="51">
        <v>125</v>
      </c>
      <c r="C430" s="51">
        <v>125</v>
      </c>
      <c r="D430" s="50"/>
      <c r="E430" s="144"/>
      <c r="F430" s="144"/>
      <c r="G430" s="144"/>
      <c r="H430" s="185"/>
      <c r="I430" s="443"/>
    </row>
    <row r="431" spans="1:9" s="88" customFormat="1" ht="30" customHeight="1">
      <c r="A431" s="75" t="s">
        <v>70</v>
      </c>
      <c r="B431" s="51">
        <v>47</v>
      </c>
      <c r="C431" s="51">
        <v>47</v>
      </c>
      <c r="D431" s="50"/>
      <c r="E431" s="144"/>
      <c r="F431" s="144"/>
      <c r="G431" s="144"/>
      <c r="H431" s="185"/>
      <c r="I431" s="444"/>
    </row>
    <row r="432" spans="1:9" s="88" customFormat="1" ht="30" customHeight="1">
      <c r="A432" s="81" t="s">
        <v>56</v>
      </c>
      <c r="B432" s="280">
        <f>B431*460/1000</f>
        <v>21.62</v>
      </c>
      <c r="C432" s="280">
        <f>C431*460/1000</f>
        <v>21.62</v>
      </c>
      <c r="D432" s="219"/>
      <c r="E432" s="63"/>
      <c r="F432" s="63"/>
      <c r="G432" s="63"/>
      <c r="H432" s="62"/>
      <c r="I432" s="443"/>
    </row>
    <row r="433" spans="1:9" s="88" customFormat="1" ht="30" customHeight="1">
      <c r="A433" s="81" t="s">
        <v>57</v>
      </c>
      <c r="B433" s="280">
        <f>B431*120/1000</f>
        <v>5.64</v>
      </c>
      <c r="C433" s="280">
        <f>C431*120/1000</f>
        <v>5.64</v>
      </c>
      <c r="D433" s="219"/>
      <c r="E433" s="63"/>
      <c r="F433" s="63"/>
      <c r="G433" s="63"/>
      <c r="H433" s="62"/>
      <c r="I433" s="443"/>
    </row>
    <row r="434" spans="1:9" s="13" customFormat="1" ht="30" customHeight="1">
      <c r="A434" s="264" t="s">
        <v>185</v>
      </c>
      <c r="B434" s="265">
        <f>B431-B432</f>
        <v>25.38</v>
      </c>
      <c r="C434" s="265">
        <f>C431-C432</f>
        <v>25.38</v>
      </c>
      <c r="D434" s="266"/>
      <c r="E434" s="267"/>
      <c r="F434" s="267"/>
      <c r="G434" s="267"/>
      <c r="H434" s="268"/>
      <c r="I434" s="447"/>
    </row>
    <row r="435" spans="1:9" s="13" customFormat="1" ht="30" customHeight="1">
      <c r="A435" s="264" t="s">
        <v>186</v>
      </c>
      <c r="B435" s="265">
        <f>B431-B433</f>
        <v>41.36</v>
      </c>
      <c r="C435" s="265">
        <f>C431-C433</f>
        <v>41.36</v>
      </c>
      <c r="D435" s="266"/>
      <c r="E435" s="267"/>
      <c r="F435" s="267"/>
      <c r="G435" s="267"/>
      <c r="H435" s="268"/>
      <c r="I435" s="447"/>
    </row>
    <row r="436" spans="1:9" s="13" customFormat="1" ht="30" customHeight="1">
      <c r="A436" s="75" t="s">
        <v>11</v>
      </c>
      <c r="B436" s="50">
        <v>3</v>
      </c>
      <c r="C436" s="50">
        <v>3</v>
      </c>
      <c r="D436" s="50"/>
      <c r="E436" s="144"/>
      <c r="F436" s="144"/>
      <c r="G436" s="144"/>
      <c r="H436" s="185"/>
      <c r="I436" s="444"/>
    </row>
    <row r="437" spans="1:9" s="13" customFormat="1" ht="30" customHeight="1">
      <c r="A437" s="75" t="s">
        <v>143</v>
      </c>
      <c r="B437" s="50"/>
      <c r="C437" s="50">
        <v>165</v>
      </c>
      <c r="D437" s="50"/>
      <c r="E437" s="144"/>
      <c r="F437" s="144"/>
      <c r="G437" s="144"/>
      <c r="H437" s="185"/>
      <c r="I437" s="444"/>
    </row>
    <row r="438" spans="1:9" s="13" customFormat="1" ht="30" customHeight="1">
      <c r="A438" s="75" t="s">
        <v>55</v>
      </c>
      <c r="B438" s="50">
        <v>5</v>
      </c>
      <c r="C438" s="50">
        <v>5</v>
      </c>
      <c r="D438" s="50"/>
      <c r="E438" s="55"/>
      <c r="F438" s="55"/>
      <c r="G438" s="31"/>
      <c r="H438" s="35"/>
      <c r="I438" s="468"/>
    </row>
    <row r="439" spans="1:9" s="13" customFormat="1" ht="30" customHeight="1">
      <c r="A439" s="75" t="s">
        <v>342</v>
      </c>
      <c r="B439" s="50"/>
      <c r="C439" s="50">
        <v>30</v>
      </c>
      <c r="D439" s="50"/>
      <c r="E439" s="55"/>
      <c r="F439" s="55"/>
      <c r="G439" s="31"/>
      <c r="H439" s="35"/>
      <c r="I439" s="468" t="s">
        <v>343</v>
      </c>
    </row>
    <row r="440" spans="1:9" s="13" customFormat="1" ht="30" customHeight="1">
      <c r="A440" s="80" t="s">
        <v>144</v>
      </c>
      <c r="B440" s="70">
        <f>C440*1.54</f>
        <v>46.2</v>
      </c>
      <c r="C440" s="236">
        <v>30</v>
      </c>
      <c r="D440" s="236"/>
      <c r="E440" s="112"/>
      <c r="F440" s="112"/>
      <c r="G440" s="112"/>
      <c r="H440" s="70"/>
      <c r="I440" s="454"/>
    </row>
    <row r="441" spans="1:9" s="13" customFormat="1" ht="30" customHeight="1">
      <c r="A441" s="130" t="s">
        <v>476</v>
      </c>
      <c r="B441" s="51">
        <f>C441*1.05</f>
        <v>31.5</v>
      </c>
      <c r="C441" s="236">
        <v>30</v>
      </c>
      <c r="D441" s="61"/>
      <c r="E441" s="63"/>
      <c r="F441" s="63"/>
      <c r="G441" s="63"/>
      <c r="H441" s="186"/>
      <c r="I441" s="450"/>
    </row>
    <row r="442" spans="1:9" s="88" customFormat="1" ht="30" customHeight="1">
      <c r="A442" s="237" t="s">
        <v>145</v>
      </c>
      <c r="B442" s="70">
        <f>C442*1.67</f>
        <v>50.099999999999994</v>
      </c>
      <c r="C442" s="236">
        <v>30</v>
      </c>
      <c r="D442" s="236"/>
      <c r="E442" s="112"/>
      <c r="F442" s="112"/>
      <c r="G442" s="112"/>
      <c r="H442" s="70"/>
      <c r="I442" s="454"/>
    </row>
    <row r="443" spans="1:9" s="142" customFormat="1" ht="30" customHeight="1">
      <c r="A443" s="508" t="s">
        <v>95</v>
      </c>
      <c r="B443" s="508"/>
      <c r="C443" s="508"/>
      <c r="D443" s="508"/>
      <c r="E443" s="508"/>
      <c r="F443" s="508"/>
      <c r="G443" s="508"/>
      <c r="H443" s="508"/>
      <c r="I443" s="508"/>
    </row>
    <row r="444" spans="1:9" s="13" customFormat="1" ht="30" customHeight="1">
      <c r="A444" s="577" t="s">
        <v>485</v>
      </c>
      <c r="B444" s="578"/>
      <c r="C444" s="199">
        <v>30</v>
      </c>
      <c r="D444" s="311"/>
      <c r="E444" s="63"/>
      <c r="F444" s="63"/>
      <c r="G444" s="63"/>
      <c r="H444" s="62"/>
      <c r="I444" s="444" t="s">
        <v>484</v>
      </c>
    </row>
    <row r="445" spans="1:9" s="13" customFormat="1" ht="30" customHeight="1">
      <c r="A445" s="130" t="s">
        <v>443</v>
      </c>
      <c r="B445" s="144">
        <f>C445*1.05</f>
        <v>36.75</v>
      </c>
      <c r="C445" s="122">
        <v>35</v>
      </c>
      <c r="D445" s="238"/>
      <c r="E445" s="243"/>
      <c r="F445" s="243"/>
      <c r="G445" s="243"/>
      <c r="H445" s="243"/>
      <c r="I445" s="474"/>
    </row>
    <row r="446" spans="1:9" s="13" customFormat="1" ht="30" customHeight="1">
      <c r="A446" s="130" t="s">
        <v>486</v>
      </c>
      <c r="B446" s="144">
        <f>C446*1.05</f>
        <v>36.75</v>
      </c>
      <c r="C446" s="122">
        <v>35</v>
      </c>
      <c r="D446" s="238"/>
      <c r="E446" s="243"/>
      <c r="F446" s="243"/>
      <c r="G446" s="243"/>
      <c r="H446" s="243"/>
      <c r="I446" s="474"/>
    </row>
    <row r="447" spans="1:9" s="13" customFormat="1" ht="30" customHeight="1">
      <c r="A447" s="234" t="s">
        <v>444</v>
      </c>
      <c r="B447" s="50"/>
      <c r="C447" s="27"/>
      <c r="D447" s="61" t="s">
        <v>147</v>
      </c>
      <c r="E447" s="63">
        <v>2.9</v>
      </c>
      <c r="F447" s="63">
        <v>0.6</v>
      </c>
      <c r="G447" s="63">
        <v>41.5</v>
      </c>
      <c r="H447" s="62">
        <f>G447*4+F447*9+E447*4</f>
        <v>183</v>
      </c>
      <c r="I447" s="420" t="s">
        <v>445</v>
      </c>
    </row>
    <row r="448" spans="1:9" s="13" customFormat="1" ht="30" customHeight="1">
      <c r="A448" s="75" t="s">
        <v>446</v>
      </c>
      <c r="B448" s="50">
        <v>30</v>
      </c>
      <c r="C448" s="50">
        <v>30</v>
      </c>
      <c r="D448" s="122"/>
      <c r="E448" s="63"/>
      <c r="F448" s="63"/>
      <c r="G448" s="63"/>
      <c r="H448" s="63"/>
      <c r="I448" s="420"/>
    </row>
    <row r="449" spans="1:9" s="13" customFormat="1" ht="30" customHeight="1">
      <c r="A449" s="130" t="s">
        <v>447</v>
      </c>
      <c r="B449" s="122">
        <v>30.4</v>
      </c>
      <c r="C449" s="122">
        <v>30</v>
      </c>
      <c r="D449" s="122"/>
      <c r="E449" s="63"/>
      <c r="F449" s="63"/>
      <c r="G449" s="63"/>
      <c r="H449" s="62"/>
      <c r="I449" s="420"/>
    </row>
    <row r="450" spans="1:9" s="13" customFormat="1" ht="30" customHeight="1">
      <c r="A450" s="504" t="s">
        <v>286</v>
      </c>
      <c r="B450" s="504"/>
      <c r="C450" s="504"/>
      <c r="D450" s="62">
        <v>200</v>
      </c>
      <c r="E450" s="63">
        <v>0.2</v>
      </c>
      <c r="F450" s="63">
        <v>0</v>
      </c>
      <c r="G450" s="63">
        <v>11.9</v>
      </c>
      <c r="H450" s="62">
        <v>53</v>
      </c>
      <c r="I450" s="444" t="s">
        <v>285</v>
      </c>
    </row>
    <row r="451" spans="1:9" s="88" customFormat="1" ht="30" customHeight="1">
      <c r="A451" s="75" t="s">
        <v>26</v>
      </c>
      <c r="B451" s="50">
        <v>2</v>
      </c>
      <c r="C451" s="50">
        <v>2</v>
      </c>
      <c r="D451" s="377"/>
      <c r="E451" s="231"/>
      <c r="F451" s="231"/>
      <c r="G451" s="231"/>
      <c r="H451" s="232"/>
      <c r="I451" s="444"/>
    </row>
    <row r="452" spans="1:9" s="88" customFormat="1" ht="30" customHeight="1">
      <c r="A452" s="75" t="s">
        <v>4</v>
      </c>
      <c r="B452" s="40">
        <v>12</v>
      </c>
      <c r="C452" s="40">
        <v>12</v>
      </c>
      <c r="D452" s="41"/>
      <c r="E452" s="231"/>
      <c r="F452" s="231"/>
      <c r="G452" s="231"/>
      <c r="H452" s="232"/>
      <c r="I452" s="443"/>
    </row>
    <row r="453" spans="1:9" s="13" customFormat="1" ht="30" customHeight="1">
      <c r="A453" s="495" t="s">
        <v>27</v>
      </c>
      <c r="B453" s="122">
        <v>30</v>
      </c>
      <c r="C453" s="122">
        <v>30</v>
      </c>
      <c r="D453" s="61">
        <v>30</v>
      </c>
      <c r="E453" s="63">
        <v>1.1</v>
      </c>
      <c r="F453" s="63">
        <v>0.3</v>
      </c>
      <c r="G453" s="63">
        <v>14.1</v>
      </c>
      <c r="H453" s="62">
        <v>61.5</v>
      </c>
      <c r="I453" s="444"/>
    </row>
    <row r="454" spans="1:9" s="142" customFormat="1" ht="30" customHeight="1">
      <c r="A454" s="516" t="s">
        <v>119</v>
      </c>
      <c r="B454" s="516"/>
      <c r="C454" s="516"/>
      <c r="D454" s="36">
        <v>160</v>
      </c>
      <c r="E454" s="37">
        <v>0.4</v>
      </c>
      <c r="F454" s="37">
        <v>0.1</v>
      </c>
      <c r="G454" s="37">
        <v>15</v>
      </c>
      <c r="H454" s="35">
        <f>E454*4+F454*9+G454*4</f>
        <v>62.5</v>
      </c>
      <c r="I454" s="303" t="s">
        <v>269</v>
      </c>
    </row>
    <row r="455" spans="1:9" s="13" customFormat="1" ht="30" customHeight="1">
      <c r="A455" s="507" t="s">
        <v>77</v>
      </c>
      <c r="B455" s="507"/>
      <c r="C455" s="507"/>
      <c r="D455" s="184">
        <f>D456+300+D496+D506</f>
        <v>800</v>
      </c>
      <c r="E455" s="59">
        <f>E456+E467+E496+E506+E509+E511</f>
        <v>24.500000000000004</v>
      </c>
      <c r="F455" s="59">
        <f>F456+F467+F496+F506+F509+F511</f>
        <v>23.3</v>
      </c>
      <c r="G455" s="59">
        <f>G456+G467+G496+G506+G509+G511</f>
        <v>127.9</v>
      </c>
      <c r="H455" s="154">
        <f>H456+H467+H496+H506+H509+H511</f>
        <v>817.3</v>
      </c>
      <c r="I455" s="449"/>
    </row>
    <row r="456" spans="1:13" s="88" customFormat="1" ht="30" customHeight="1">
      <c r="A456" s="504" t="s">
        <v>502</v>
      </c>
      <c r="B456" s="504"/>
      <c r="C456" s="504"/>
      <c r="D456" s="61">
        <v>100</v>
      </c>
      <c r="E456" s="63">
        <v>1.3</v>
      </c>
      <c r="F456" s="63">
        <v>4.2</v>
      </c>
      <c r="G456" s="63">
        <v>3.9</v>
      </c>
      <c r="H456" s="62">
        <f>G456*4+F456*9+E456*4</f>
        <v>58.60000000000001</v>
      </c>
      <c r="I456" s="450" t="s">
        <v>503</v>
      </c>
      <c r="M456" s="13"/>
    </row>
    <row r="457" spans="1:9" s="13" customFormat="1" ht="30" customHeight="1">
      <c r="A457" s="72" t="s">
        <v>75</v>
      </c>
      <c r="B457" s="51">
        <f>C457*1.25</f>
        <v>122.5</v>
      </c>
      <c r="C457" s="50">
        <v>98</v>
      </c>
      <c r="D457" s="61"/>
      <c r="E457" s="63"/>
      <c r="F457" s="63"/>
      <c r="G457" s="63"/>
      <c r="H457" s="62"/>
      <c r="I457" s="221"/>
    </row>
    <row r="458" spans="1:13" s="13" customFormat="1" ht="30" customHeight="1">
      <c r="A458" s="308" t="s">
        <v>504</v>
      </c>
      <c r="B458" s="51"/>
      <c r="C458" s="50">
        <v>62</v>
      </c>
      <c r="D458" s="50"/>
      <c r="E458" s="55"/>
      <c r="F458" s="55"/>
      <c r="G458" s="55"/>
      <c r="H458" s="51"/>
      <c r="I458" s="303"/>
      <c r="M458" s="88"/>
    </row>
    <row r="459" spans="1:13" s="13" customFormat="1" ht="30" customHeight="1">
      <c r="A459" s="579" t="s">
        <v>505</v>
      </c>
      <c r="B459" s="579"/>
      <c r="C459" s="579"/>
      <c r="D459" s="5"/>
      <c r="E459" s="50"/>
      <c r="F459" s="50"/>
      <c r="G459" s="50"/>
      <c r="H459" s="51"/>
      <c r="I459" s="305"/>
      <c r="M459" s="88"/>
    </row>
    <row r="460" spans="1:13" s="13" customFormat="1" ht="30" customHeight="1">
      <c r="A460" s="130" t="s">
        <v>123</v>
      </c>
      <c r="B460" s="382">
        <f>C460*1.02</f>
        <v>35.7</v>
      </c>
      <c r="C460" s="424">
        <v>35</v>
      </c>
      <c r="D460" s="61"/>
      <c r="E460" s="63"/>
      <c r="F460" s="63"/>
      <c r="G460" s="63"/>
      <c r="H460" s="62"/>
      <c r="I460" s="221"/>
      <c r="M460" s="142"/>
    </row>
    <row r="461" spans="1:10" s="13" customFormat="1" ht="30" customHeight="1">
      <c r="A461" s="124" t="s">
        <v>506</v>
      </c>
      <c r="B461" s="382">
        <f>C461*1.05</f>
        <v>36.75</v>
      </c>
      <c r="C461" s="424">
        <v>35</v>
      </c>
      <c r="D461" s="61"/>
      <c r="E461" s="63"/>
      <c r="F461" s="63"/>
      <c r="G461" s="63"/>
      <c r="H461" s="62"/>
      <c r="I461" s="222"/>
      <c r="J461" s="142"/>
    </row>
    <row r="462" spans="1:9" s="13" customFormat="1" ht="30" customHeight="1">
      <c r="A462" s="75" t="s">
        <v>430</v>
      </c>
      <c r="B462" s="55">
        <v>0.1</v>
      </c>
      <c r="C462" s="55">
        <v>0.1</v>
      </c>
      <c r="D462" s="61"/>
      <c r="E462" s="63"/>
      <c r="F462" s="63"/>
      <c r="G462" s="63"/>
      <c r="H462" s="62"/>
      <c r="I462" s="491"/>
    </row>
    <row r="463" spans="1:15" s="13" customFormat="1" ht="30" customHeight="1">
      <c r="A463" s="75" t="s">
        <v>312</v>
      </c>
      <c r="B463" s="50">
        <v>5</v>
      </c>
      <c r="C463" s="50">
        <v>5</v>
      </c>
      <c r="D463" s="61"/>
      <c r="E463" s="144"/>
      <c r="F463" s="144"/>
      <c r="G463" s="63"/>
      <c r="H463" s="62"/>
      <c r="I463" s="222"/>
      <c r="L463" s="20"/>
      <c r="M463" s="248"/>
      <c r="N463" s="20"/>
      <c r="O463" s="20"/>
    </row>
    <row r="464" spans="1:15" s="13" customFormat="1" ht="30" customHeight="1">
      <c r="A464" s="75" t="s">
        <v>507</v>
      </c>
      <c r="B464" s="51">
        <f>C464*2.38</f>
        <v>11.899999999999999</v>
      </c>
      <c r="C464" s="50">
        <v>5</v>
      </c>
      <c r="D464" s="61"/>
      <c r="E464" s="144"/>
      <c r="F464" s="144"/>
      <c r="G464" s="63"/>
      <c r="H464" s="62"/>
      <c r="I464" s="222"/>
      <c r="L464" s="20"/>
      <c r="M464" s="244"/>
      <c r="N464" s="405"/>
      <c r="O464" s="20"/>
    </row>
    <row r="465" spans="1:15" s="142" customFormat="1" ht="30" customHeight="1">
      <c r="A465" s="72" t="s">
        <v>11</v>
      </c>
      <c r="B465" s="5">
        <v>4</v>
      </c>
      <c r="C465" s="5">
        <v>4</v>
      </c>
      <c r="D465" s="29"/>
      <c r="E465" s="144"/>
      <c r="F465" s="144"/>
      <c r="G465" s="144"/>
      <c r="H465" s="185"/>
      <c r="I465" s="443"/>
      <c r="L465" s="205"/>
      <c r="M465" s="244"/>
      <c r="N465" s="406"/>
      <c r="O465" s="205"/>
    </row>
    <row r="466" spans="1:15" s="13" customFormat="1" ht="30" customHeight="1">
      <c r="A466" s="72" t="s">
        <v>508</v>
      </c>
      <c r="B466" s="49">
        <f>C466*1.35</f>
        <v>2.7</v>
      </c>
      <c r="C466" s="49">
        <v>2</v>
      </c>
      <c r="D466" s="61"/>
      <c r="E466" s="144"/>
      <c r="F466" s="144"/>
      <c r="G466" s="144"/>
      <c r="H466" s="185"/>
      <c r="I466" s="492"/>
      <c r="L466" s="20"/>
      <c r="M466" s="245"/>
      <c r="N466" s="406"/>
      <c r="O466" s="20"/>
    </row>
    <row r="467" spans="1:15" s="13" customFormat="1" ht="30" customHeight="1">
      <c r="A467" s="509" t="s">
        <v>353</v>
      </c>
      <c r="B467" s="509"/>
      <c r="C467" s="509"/>
      <c r="D467" s="29" t="s">
        <v>371</v>
      </c>
      <c r="E467" s="63">
        <v>5.9</v>
      </c>
      <c r="F467" s="63">
        <v>4.7</v>
      </c>
      <c r="G467" s="63">
        <v>19.8</v>
      </c>
      <c r="H467" s="62">
        <f>E467*4+F467*9+G467*4</f>
        <v>145.10000000000002</v>
      </c>
      <c r="I467" s="444" t="s">
        <v>354</v>
      </c>
      <c r="L467" s="20"/>
      <c r="M467" s="246"/>
      <c r="N467" s="406"/>
      <c r="O467" s="20"/>
    </row>
    <row r="468" spans="1:15" s="13" customFormat="1" ht="30" customHeight="1">
      <c r="A468" s="72" t="s">
        <v>12</v>
      </c>
      <c r="B468" s="49">
        <f>C468*1.33</f>
        <v>133</v>
      </c>
      <c r="C468" s="50">
        <v>100</v>
      </c>
      <c r="D468" s="29"/>
      <c r="E468" s="63"/>
      <c r="F468" s="63"/>
      <c r="G468" s="63"/>
      <c r="H468" s="62"/>
      <c r="I468" s="444"/>
      <c r="L468" s="20"/>
      <c r="M468" s="246"/>
      <c r="N468" s="406"/>
      <c r="O468" s="20"/>
    </row>
    <row r="469" spans="1:15" s="13" customFormat="1" ht="30" customHeight="1">
      <c r="A469" s="72" t="s">
        <v>13</v>
      </c>
      <c r="B469" s="49">
        <f>C469*1.43</f>
        <v>143</v>
      </c>
      <c r="C469" s="50">
        <v>100</v>
      </c>
      <c r="D469" s="26"/>
      <c r="E469" s="63"/>
      <c r="F469" s="63"/>
      <c r="G469" s="63"/>
      <c r="H469" s="62"/>
      <c r="I469" s="444"/>
      <c r="L469" s="20"/>
      <c r="M469" s="245"/>
      <c r="N469" s="406"/>
      <c r="O469" s="20"/>
    </row>
    <row r="470" spans="1:15" s="13" customFormat="1" ht="30" customHeight="1">
      <c r="A470" s="75" t="s">
        <v>14</v>
      </c>
      <c r="B470" s="49">
        <f>C470*1.54</f>
        <v>154</v>
      </c>
      <c r="C470" s="50">
        <v>100</v>
      </c>
      <c r="D470" s="26"/>
      <c r="E470" s="63"/>
      <c r="F470" s="63"/>
      <c r="G470" s="63"/>
      <c r="H470" s="62"/>
      <c r="I470" s="444"/>
      <c r="L470" s="20"/>
      <c r="M470" s="244"/>
      <c r="N470" s="406"/>
      <c r="O470" s="20"/>
    </row>
    <row r="471" spans="1:15" s="13" customFormat="1" ht="30" customHeight="1">
      <c r="A471" s="75" t="s">
        <v>15</v>
      </c>
      <c r="B471" s="49">
        <f>C471*1.67</f>
        <v>167</v>
      </c>
      <c r="C471" s="50">
        <v>100</v>
      </c>
      <c r="D471" s="26"/>
      <c r="E471" s="63"/>
      <c r="F471" s="63"/>
      <c r="G471" s="63"/>
      <c r="H471" s="62"/>
      <c r="I471" s="444"/>
      <c r="L471" s="20"/>
      <c r="M471" s="245"/>
      <c r="N471" s="407"/>
      <c r="O471" s="20"/>
    </row>
    <row r="472" spans="1:15" s="13" customFormat="1" ht="30" customHeight="1">
      <c r="A472" s="72" t="s">
        <v>81</v>
      </c>
      <c r="B472" s="54">
        <f>C472*1.25</f>
        <v>12.5</v>
      </c>
      <c r="C472" s="49">
        <v>10</v>
      </c>
      <c r="D472" s="184"/>
      <c r="E472" s="143"/>
      <c r="F472" s="143"/>
      <c r="G472" s="143"/>
      <c r="H472" s="143"/>
      <c r="I472" s="475"/>
      <c r="L472" s="20"/>
      <c r="M472" s="245"/>
      <c r="N472" s="406"/>
      <c r="O472" s="20"/>
    </row>
    <row r="473" spans="1:15" s="13" customFormat="1" ht="30" customHeight="1">
      <c r="A473" s="72" t="s">
        <v>16</v>
      </c>
      <c r="B473" s="54">
        <f>C473*1.33</f>
        <v>13.3</v>
      </c>
      <c r="C473" s="49">
        <v>10</v>
      </c>
      <c r="D473" s="184"/>
      <c r="E473" s="143"/>
      <c r="F473" s="143"/>
      <c r="G473" s="143"/>
      <c r="H473" s="143"/>
      <c r="I473" s="475"/>
      <c r="L473" s="20"/>
      <c r="M473" s="245"/>
      <c r="N473" s="406"/>
      <c r="O473" s="20"/>
    </row>
    <row r="474" spans="1:15" s="13" customFormat="1" ht="30" customHeight="1">
      <c r="A474" s="75" t="s">
        <v>18</v>
      </c>
      <c r="B474" s="51">
        <f>C474*1.19</f>
        <v>11.899999999999999</v>
      </c>
      <c r="C474" s="50">
        <v>10</v>
      </c>
      <c r="D474" s="26"/>
      <c r="E474" s="63"/>
      <c r="F474" s="63"/>
      <c r="G474" s="63"/>
      <c r="H474" s="62"/>
      <c r="I474" s="444"/>
      <c r="L474" s="20"/>
      <c r="M474" s="245"/>
      <c r="N474" s="408"/>
      <c r="O474" s="20"/>
    </row>
    <row r="475" spans="1:15" s="13" customFormat="1" ht="30" customHeight="1">
      <c r="A475" s="124" t="s">
        <v>19</v>
      </c>
      <c r="B475" s="185">
        <v>5</v>
      </c>
      <c r="C475" s="185">
        <v>5</v>
      </c>
      <c r="D475" s="61"/>
      <c r="E475" s="63"/>
      <c r="F475" s="63"/>
      <c r="G475" s="63"/>
      <c r="H475" s="62"/>
      <c r="I475" s="444"/>
      <c r="L475" s="20"/>
      <c r="M475" s="245"/>
      <c r="N475" s="408"/>
      <c r="O475" s="20"/>
    </row>
    <row r="476" spans="1:15" s="142" customFormat="1" ht="30" customHeight="1">
      <c r="A476" s="124" t="s">
        <v>177</v>
      </c>
      <c r="B476" s="185"/>
      <c r="C476" s="185">
        <v>50</v>
      </c>
      <c r="D476" s="61"/>
      <c r="E476" s="63"/>
      <c r="F476" s="63"/>
      <c r="G476" s="63"/>
      <c r="H476" s="62"/>
      <c r="I476" s="444"/>
      <c r="L476" s="205"/>
      <c r="M476" s="245"/>
      <c r="N476" s="408"/>
      <c r="O476" s="205"/>
    </row>
    <row r="477" spans="1:15" s="13" customFormat="1" ht="30" customHeight="1">
      <c r="A477" s="78" t="s">
        <v>108</v>
      </c>
      <c r="B477" s="38">
        <f>C477*1.35</f>
        <v>39.150000000000006</v>
      </c>
      <c r="C477" s="51">
        <v>29</v>
      </c>
      <c r="D477" s="26"/>
      <c r="E477" s="63"/>
      <c r="F477" s="63"/>
      <c r="G477" s="63"/>
      <c r="H477" s="62"/>
      <c r="I477" s="444"/>
      <c r="L477" s="20"/>
      <c r="M477" s="245"/>
      <c r="N477" s="408"/>
      <c r="O477" s="20"/>
    </row>
    <row r="478" spans="1:15" s="13" customFormat="1" ht="30" customHeight="1">
      <c r="A478" s="78" t="s">
        <v>199</v>
      </c>
      <c r="B478" s="69">
        <f>C478*1.5</f>
        <v>43.5</v>
      </c>
      <c r="C478" s="51">
        <v>29</v>
      </c>
      <c r="D478" s="26"/>
      <c r="E478" s="63"/>
      <c r="F478" s="63"/>
      <c r="G478" s="63"/>
      <c r="H478" s="62"/>
      <c r="I478" s="444"/>
      <c r="L478" s="20"/>
      <c r="M478" s="20"/>
      <c r="N478" s="20"/>
      <c r="O478" s="20"/>
    </row>
    <row r="479" spans="1:15" s="13" customFormat="1" ht="30" customHeight="1">
      <c r="A479" s="164" t="s">
        <v>180</v>
      </c>
      <c r="B479" s="69">
        <f>C479*1.82</f>
        <v>52.78</v>
      </c>
      <c r="C479" s="51">
        <v>29</v>
      </c>
      <c r="D479" s="26"/>
      <c r="E479" s="63"/>
      <c r="F479" s="63"/>
      <c r="G479" s="63"/>
      <c r="H479" s="62"/>
      <c r="I479" s="444"/>
      <c r="L479" s="20"/>
      <c r="M479" s="244"/>
      <c r="N479" s="408"/>
      <c r="O479" s="20"/>
    </row>
    <row r="480" spans="1:15" s="88" customFormat="1" ht="30" customHeight="1">
      <c r="A480" s="75" t="s">
        <v>18</v>
      </c>
      <c r="B480" s="51">
        <f>C480*1.19</f>
        <v>11.899999999999999</v>
      </c>
      <c r="C480" s="50">
        <v>10</v>
      </c>
      <c r="D480" s="26"/>
      <c r="E480" s="63"/>
      <c r="F480" s="63"/>
      <c r="G480" s="63"/>
      <c r="H480" s="62"/>
      <c r="I480" s="444"/>
      <c r="L480" s="97"/>
      <c r="M480" s="247"/>
      <c r="N480" s="409"/>
      <c r="O480" s="97"/>
    </row>
    <row r="481" spans="1:15" s="88" customFormat="1" ht="30" customHeight="1">
      <c r="A481" s="75" t="s">
        <v>109</v>
      </c>
      <c r="B481" s="55">
        <v>2.5</v>
      </c>
      <c r="C481" s="55">
        <v>2.5</v>
      </c>
      <c r="D481" s="26"/>
      <c r="E481" s="63"/>
      <c r="F481" s="63"/>
      <c r="G481" s="63"/>
      <c r="H481" s="62"/>
      <c r="I481" s="444"/>
      <c r="L481" s="97"/>
      <c r="M481" s="244"/>
      <c r="N481" s="406"/>
      <c r="O481" s="97"/>
    </row>
    <row r="482" spans="1:15" s="88" customFormat="1" ht="30" customHeight="1">
      <c r="A482" s="75" t="s">
        <v>97</v>
      </c>
      <c r="B482" s="54">
        <v>0.2</v>
      </c>
      <c r="C482" s="54">
        <v>0.2</v>
      </c>
      <c r="D482" s="26"/>
      <c r="E482" s="43"/>
      <c r="F482" s="43"/>
      <c r="G482" s="43"/>
      <c r="H482" s="160"/>
      <c r="I482" s="449"/>
      <c r="L482" s="97"/>
      <c r="M482" s="244"/>
      <c r="N482" s="406"/>
      <c r="O482" s="97"/>
    </row>
    <row r="483" spans="1:15" s="88" customFormat="1" ht="30" customHeight="1">
      <c r="A483" s="508" t="s">
        <v>95</v>
      </c>
      <c r="B483" s="508"/>
      <c r="C483" s="508"/>
      <c r="D483" s="508"/>
      <c r="E483" s="508"/>
      <c r="F483" s="508"/>
      <c r="G483" s="508"/>
      <c r="H483" s="508"/>
      <c r="I483" s="508"/>
      <c r="K483" s="13"/>
      <c r="L483" s="20"/>
      <c r="M483" s="244"/>
      <c r="N483" s="406"/>
      <c r="O483" s="97"/>
    </row>
    <row r="484" spans="1:15" s="13" customFormat="1" ht="30" customHeight="1">
      <c r="A484" s="509" t="s">
        <v>448</v>
      </c>
      <c r="B484" s="509"/>
      <c r="C484" s="509"/>
      <c r="D484" s="46" t="s">
        <v>449</v>
      </c>
      <c r="E484" s="63">
        <v>6.15</v>
      </c>
      <c r="F484" s="63">
        <v>4.2</v>
      </c>
      <c r="G484" s="63">
        <v>14.7</v>
      </c>
      <c r="H484" s="157">
        <f>G484*4+F484*9+E484*4</f>
        <v>121.19999999999999</v>
      </c>
      <c r="I484" s="444" t="s">
        <v>450</v>
      </c>
      <c r="L484" s="20"/>
      <c r="M484" s="245"/>
      <c r="N484" s="406"/>
      <c r="O484" s="20"/>
    </row>
    <row r="485" spans="1:15" s="13" customFormat="1" ht="30" customHeight="1">
      <c r="A485" s="164" t="s">
        <v>451</v>
      </c>
      <c r="B485" s="421">
        <f>C485*1.5</f>
        <v>45</v>
      </c>
      <c r="C485" s="382">
        <v>30</v>
      </c>
      <c r="D485" s="26"/>
      <c r="E485" s="144"/>
      <c r="F485" s="144"/>
      <c r="G485" s="144"/>
      <c r="H485" s="144"/>
      <c r="I485" s="445"/>
      <c r="L485" s="20"/>
      <c r="M485" s="245"/>
      <c r="N485" s="406"/>
      <c r="O485" s="20"/>
    </row>
    <row r="486" spans="1:15" s="13" customFormat="1" ht="30" customHeight="1">
      <c r="A486" s="164" t="s">
        <v>180</v>
      </c>
      <c r="B486" s="421">
        <f>C486*1.82</f>
        <v>54.6</v>
      </c>
      <c r="C486" s="382">
        <v>30</v>
      </c>
      <c r="D486" s="26"/>
      <c r="E486" s="144"/>
      <c r="F486" s="144"/>
      <c r="G486" s="144"/>
      <c r="H486" s="122"/>
      <c r="I486" s="445"/>
      <c r="K486" s="88"/>
      <c r="L486" s="97"/>
      <c r="M486" s="245"/>
      <c r="N486" s="410"/>
      <c r="O486" s="20"/>
    </row>
    <row r="487" spans="1:15" s="13" customFormat="1" ht="30" customHeight="1">
      <c r="A487" s="78" t="s">
        <v>452</v>
      </c>
      <c r="B487" s="38">
        <f>C487*1.35</f>
        <v>39.150000000000006</v>
      </c>
      <c r="C487" s="51">
        <v>29</v>
      </c>
      <c r="D487" s="26"/>
      <c r="E487" s="63"/>
      <c r="F487" s="63"/>
      <c r="G487" s="63"/>
      <c r="H487" s="62"/>
      <c r="I487" s="444"/>
      <c r="K487" s="88"/>
      <c r="L487" s="97"/>
      <c r="M487" s="244"/>
      <c r="N487" s="406"/>
      <c r="O487" s="20"/>
    </row>
    <row r="488" spans="1:15" s="13" customFormat="1" ht="30" customHeight="1">
      <c r="A488" s="130" t="s">
        <v>453</v>
      </c>
      <c r="B488" s="414"/>
      <c r="C488" s="382">
        <v>25</v>
      </c>
      <c r="D488" s="61"/>
      <c r="E488" s="144"/>
      <c r="F488" s="144"/>
      <c r="G488" s="144"/>
      <c r="H488" s="122"/>
      <c r="I488" s="445"/>
      <c r="K488" s="88"/>
      <c r="L488" s="97"/>
      <c r="M488" s="244"/>
      <c r="N488" s="408"/>
      <c r="O488" s="20"/>
    </row>
    <row r="489" spans="1:15" s="13" customFormat="1" ht="30" customHeight="1">
      <c r="A489" s="80" t="s">
        <v>12</v>
      </c>
      <c r="B489" s="223">
        <f>C489*1.33</f>
        <v>133</v>
      </c>
      <c r="C489" s="275">
        <v>100</v>
      </c>
      <c r="D489" s="5"/>
      <c r="E489" s="144"/>
      <c r="F489" s="144"/>
      <c r="G489" s="144"/>
      <c r="H489" s="185"/>
      <c r="I489" s="445"/>
      <c r="K489" s="88"/>
      <c r="L489" s="97"/>
      <c r="M489" s="245"/>
      <c r="N489" s="406"/>
      <c r="O489" s="20"/>
    </row>
    <row r="490" spans="1:15" s="13" customFormat="1" ht="30" customHeight="1">
      <c r="A490" s="80" t="s">
        <v>13</v>
      </c>
      <c r="B490" s="223">
        <f>C490*1.43</f>
        <v>143</v>
      </c>
      <c r="C490" s="275">
        <v>100</v>
      </c>
      <c r="D490" s="5"/>
      <c r="E490" s="144"/>
      <c r="F490" s="144"/>
      <c r="G490" s="144"/>
      <c r="H490" s="185"/>
      <c r="I490" s="445"/>
      <c r="L490" s="20"/>
      <c r="M490" s="245"/>
      <c r="N490" s="406"/>
      <c r="O490" s="20"/>
    </row>
    <row r="491" spans="1:15" s="13" customFormat="1" ht="30" customHeight="1">
      <c r="A491" s="79" t="s">
        <v>14</v>
      </c>
      <c r="B491" s="223">
        <f>C491*1.54</f>
        <v>154</v>
      </c>
      <c r="C491" s="275">
        <v>100</v>
      </c>
      <c r="D491" s="5"/>
      <c r="E491" s="144"/>
      <c r="F491" s="63"/>
      <c r="G491" s="63"/>
      <c r="H491" s="62"/>
      <c r="I491" s="445"/>
      <c r="K491" s="88"/>
      <c r="L491" s="97"/>
      <c r="M491" s="245"/>
      <c r="N491" s="406"/>
      <c r="O491" s="20"/>
    </row>
    <row r="492" spans="1:15" s="13" customFormat="1" ht="30" customHeight="1">
      <c r="A492" s="79" t="s">
        <v>15</v>
      </c>
      <c r="B492" s="223">
        <f>C492*1.67</f>
        <v>167</v>
      </c>
      <c r="C492" s="275">
        <v>100</v>
      </c>
      <c r="D492" s="5"/>
      <c r="E492" s="144"/>
      <c r="F492" s="144"/>
      <c r="G492" s="144"/>
      <c r="H492" s="185"/>
      <c r="I492" s="445"/>
      <c r="K492" s="88"/>
      <c r="L492" s="97"/>
      <c r="M492" s="97"/>
      <c r="N492" s="20"/>
      <c r="O492" s="20"/>
    </row>
    <row r="493" spans="1:15" s="13" customFormat="1" ht="30" customHeight="1">
      <c r="A493" s="80" t="s">
        <v>18</v>
      </c>
      <c r="B493" s="126">
        <f>C493*1.19</f>
        <v>17.849999999999998</v>
      </c>
      <c r="C493" s="275">
        <v>15</v>
      </c>
      <c r="D493" s="42"/>
      <c r="E493" s="43"/>
      <c r="F493" s="43"/>
      <c r="G493" s="43"/>
      <c r="H493" s="160"/>
      <c r="I493" s="470"/>
      <c r="K493" s="88"/>
      <c r="L493" s="97"/>
      <c r="M493" s="20"/>
      <c r="N493" s="20"/>
      <c r="O493" s="20"/>
    </row>
    <row r="494" spans="1:9" s="13" customFormat="1" ht="30" customHeight="1">
      <c r="A494" s="130" t="s">
        <v>19</v>
      </c>
      <c r="B494" s="382">
        <v>5</v>
      </c>
      <c r="C494" s="382">
        <v>5</v>
      </c>
      <c r="D494" s="122"/>
      <c r="E494" s="144"/>
      <c r="F494" s="144"/>
      <c r="G494" s="144"/>
      <c r="H494" s="185"/>
      <c r="I494" s="445"/>
    </row>
    <row r="495" spans="1:13" s="13" customFormat="1" ht="30" customHeight="1">
      <c r="A495" s="79" t="s">
        <v>97</v>
      </c>
      <c r="B495" s="383">
        <v>0.2</v>
      </c>
      <c r="C495" s="383">
        <v>0.2</v>
      </c>
      <c r="D495" s="242"/>
      <c r="E495" s="43"/>
      <c r="F495" s="43"/>
      <c r="G495" s="43"/>
      <c r="H495" s="160"/>
      <c r="I495" s="470"/>
      <c r="K495" s="88"/>
      <c r="L495" s="88"/>
      <c r="M495" s="88"/>
    </row>
    <row r="496" spans="1:12" s="13" customFormat="1" ht="30" customHeight="1">
      <c r="A496" s="516" t="s">
        <v>279</v>
      </c>
      <c r="B496" s="516"/>
      <c r="C496" s="516"/>
      <c r="D496" s="61">
        <v>200</v>
      </c>
      <c r="E496" s="63">
        <v>12.6</v>
      </c>
      <c r="F496" s="63">
        <v>13.5</v>
      </c>
      <c r="G496" s="63">
        <v>35.5</v>
      </c>
      <c r="H496" s="62">
        <f>E496*4+F496*9+G496*4</f>
        <v>313.9</v>
      </c>
      <c r="I496" s="444" t="s">
        <v>280</v>
      </c>
      <c r="K496" s="88"/>
      <c r="L496" s="88"/>
    </row>
    <row r="497" spans="1:9" s="13" customFormat="1" ht="30" customHeight="1">
      <c r="A497" s="73" t="s">
        <v>111</v>
      </c>
      <c r="B497" s="38">
        <f>C497*1.36</f>
        <v>107.44000000000001</v>
      </c>
      <c r="C497" s="39">
        <v>79</v>
      </c>
      <c r="D497" s="26"/>
      <c r="E497" s="63"/>
      <c r="F497" s="63"/>
      <c r="G497" s="63"/>
      <c r="H497" s="62"/>
      <c r="I497" s="444"/>
    </row>
    <row r="498" spans="1:9" s="13" customFormat="1" ht="30" customHeight="1">
      <c r="A498" s="73" t="s">
        <v>112</v>
      </c>
      <c r="B498" s="38">
        <f>C498*1.18</f>
        <v>93.22</v>
      </c>
      <c r="C498" s="5">
        <f>C497</f>
        <v>79</v>
      </c>
      <c r="D498" s="42"/>
      <c r="E498" s="43"/>
      <c r="F498" s="43"/>
      <c r="G498" s="43"/>
      <c r="H498" s="160"/>
      <c r="I498" s="449"/>
    </row>
    <row r="499" spans="1:9" s="13" customFormat="1" ht="30" customHeight="1">
      <c r="A499" s="79" t="s">
        <v>11</v>
      </c>
      <c r="B499" s="51">
        <v>8</v>
      </c>
      <c r="C499" s="51">
        <v>8</v>
      </c>
      <c r="D499" s="29"/>
      <c r="E499" s="63"/>
      <c r="F499" s="63"/>
      <c r="G499" s="63"/>
      <c r="H499" s="62"/>
      <c r="I499" s="444"/>
    </row>
    <row r="500" spans="1:13" s="13" customFormat="1" ht="30" customHeight="1">
      <c r="A500" s="229" t="s">
        <v>121</v>
      </c>
      <c r="B500" s="35"/>
      <c r="C500" s="35">
        <v>50</v>
      </c>
      <c r="D500" s="29"/>
      <c r="E500" s="63"/>
      <c r="F500" s="63"/>
      <c r="G500" s="63"/>
      <c r="H500" s="62"/>
      <c r="I500" s="444"/>
      <c r="M500" s="88"/>
    </row>
    <row r="501" spans="1:13" s="13" customFormat="1" ht="30" customHeight="1">
      <c r="A501" s="79" t="s">
        <v>23</v>
      </c>
      <c r="B501" s="51">
        <v>51</v>
      </c>
      <c r="C501" s="51">
        <v>51</v>
      </c>
      <c r="D501" s="29"/>
      <c r="E501" s="63"/>
      <c r="F501" s="63"/>
      <c r="G501" s="63"/>
      <c r="H501" s="62"/>
      <c r="I501" s="444"/>
      <c r="M501" s="142"/>
    </row>
    <row r="502" spans="1:13" s="13" customFormat="1" ht="30" customHeight="1">
      <c r="A502" s="72" t="s">
        <v>81</v>
      </c>
      <c r="B502" s="49">
        <f>C502*1.25</f>
        <v>21.25</v>
      </c>
      <c r="C502" s="39">
        <v>17</v>
      </c>
      <c r="D502" s="61"/>
      <c r="E502" s="63"/>
      <c r="F502" s="63"/>
      <c r="G502" s="63"/>
      <c r="H502" s="62"/>
      <c r="I502" s="444"/>
      <c r="M502" s="88"/>
    </row>
    <row r="503" spans="1:9" s="13" customFormat="1" ht="30" customHeight="1">
      <c r="A503" s="72" t="s">
        <v>16</v>
      </c>
      <c r="B503" s="49">
        <f>C503*1.33</f>
        <v>22.61</v>
      </c>
      <c r="C503" s="39">
        <v>17</v>
      </c>
      <c r="D503" s="61"/>
      <c r="E503" s="63"/>
      <c r="F503" s="63"/>
      <c r="G503" s="63"/>
      <c r="H503" s="62"/>
      <c r="I503" s="444"/>
    </row>
    <row r="504" spans="1:12" s="88" customFormat="1" ht="30" customHeight="1">
      <c r="A504" s="79" t="s">
        <v>18</v>
      </c>
      <c r="B504" s="51">
        <f>C504*1.19</f>
        <v>9.52</v>
      </c>
      <c r="C504" s="51">
        <v>8</v>
      </c>
      <c r="D504" s="61"/>
      <c r="E504" s="63"/>
      <c r="F504" s="63"/>
      <c r="G504" s="63"/>
      <c r="H504" s="62"/>
      <c r="I504" s="444"/>
      <c r="K504" s="13"/>
      <c r="L504" s="13"/>
    </row>
    <row r="505" spans="1:13" s="13" customFormat="1" ht="30" customHeight="1">
      <c r="A505" s="80" t="s">
        <v>72</v>
      </c>
      <c r="B505" s="39">
        <v>8</v>
      </c>
      <c r="C505" s="39">
        <v>8</v>
      </c>
      <c r="D505" s="61"/>
      <c r="E505" s="63"/>
      <c r="F505" s="63"/>
      <c r="G505" s="63"/>
      <c r="H505" s="63"/>
      <c r="I505" s="444"/>
      <c r="K505" s="88"/>
      <c r="L505" s="88"/>
      <c r="M505" s="88"/>
    </row>
    <row r="506" spans="1:11" s="13" customFormat="1" ht="30" customHeight="1">
      <c r="A506" s="506" t="s">
        <v>351</v>
      </c>
      <c r="B506" s="506"/>
      <c r="C506" s="506"/>
      <c r="D506" s="109">
        <v>200</v>
      </c>
      <c r="E506" s="108">
        <v>0.1</v>
      </c>
      <c r="F506" s="108">
        <v>0</v>
      </c>
      <c r="G506" s="108">
        <v>19</v>
      </c>
      <c r="H506" s="62">
        <f>G506*4+F506*9+E506*4</f>
        <v>76.4</v>
      </c>
      <c r="I506" s="476" t="s">
        <v>352</v>
      </c>
      <c r="J506" s="20"/>
      <c r="K506" s="20"/>
    </row>
    <row r="507" spans="1:11" s="13" customFormat="1" ht="30" customHeight="1">
      <c r="A507" s="111" t="s">
        <v>423</v>
      </c>
      <c r="B507" s="71">
        <v>26.4</v>
      </c>
      <c r="C507" s="71">
        <v>25</v>
      </c>
      <c r="D507" s="113"/>
      <c r="E507" s="152"/>
      <c r="F507" s="152"/>
      <c r="G507" s="152"/>
      <c r="H507" s="163"/>
      <c r="I507" s="454"/>
      <c r="J507" s="240"/>
      <c r="K507" s="20"/>
    </row>
    <row r="508" spans="1:13" s="13" customFormat="1" ht="30" customHeight="1">
      <c r="A508" s="75" t="s">
        <v>4</v>
      </c>
      <c r="B508" s="71">
        <v>15</v>
      </c>
      <c r="C508" s="71">
        <v>15</v>
      </c>
      <c r="D508" s="113"/>
      <c r="E508" s="152"/>
      <c r="F508" s="152"/>
      <c r="G508" s="152"/>
      <c r="H508" s="163"/>
      <c r="I508" s="454"/>
      <c r="J508" s="20"/>
      <c r="K508" s="20"/>
      <c r="M508" s="88"/>
    </row>
    <row r="509" spans="1:12" s="88" customFormat="1" ht="30" customHeight="1">
      <c r="A509" s="494" t="s">
        <v>20</v>
      </c>
      <c r="B509" s="181">
        <v>60</v>
      </c>
      <c r="C509" s="181">
        <v>60</v>
      </c>
      <c r="D509" s="114">
        <v>60</v>
      </c>
      <c r="E509" s="121">
        <v>2.8</v>
      </c>
      <c r="F509" s="121">
        <v>0.6</v>
      </c>
      <c r="G509" s="121">
        <v>26.2</v>
      </c>
      <c r="H509" s="157">
        <v>122</v>
      </c>
      <c r="I509" s="444"/>
      <c r="J509" s="240"/>
      <c r="K509" s="20"/>
      <c r="L509" s="13"/>
    </row>
    <row r="510" spans="1:13" s="13" customFormat="1" ht="30" customHeight="1">
      <c r="A510" s="504" t="s">
        <v>100</v>
      </c>
      <c r="B510" s="504"/>
      <c r="C510" s="504"/>
      <c r="D510" s="114">
        <v>60</v>
      </c>
      <c r="E510" s="144"/>
      <c r="F510" s="144"/>
      <c r="G510" s="144"/>
      <c r="H510" s="144"/>
      <c r="I510" s="443"/>
      <c r="J510" s="20"/>
      <c r="K510" s="20"/>
      <c r="M510" s="90"/>
    </row>
    <row r="511" spans="1:13" s="13" customFormat="1" ht="30" customHeight="1">
      <c r="A511" s="495" t="s">
        <v>27</v>
      </c>
      <c r="B511" s="122">
        <v>50</v>
      </c>
      <c r="C511" s="122">
        <v>50</v>
      </c>
      <c r="D511" s="61">
        <v>50</v>
      </c>
      <c r="E511" s="63">
        <v>1.8</v>
      </c>
      <c r="F511" s="63">
        <v>0.3</v>
      </c>
      <c r="G511" s="63">
        <v>23.5</v>
      </c>
      <c r="H511" s="62">
        <v>101.30000000000001</v>
      </c>
      <c r="I511" s="444"/>
      <c r="K511" s="88"/>
      <c r="L511" s="88"/>
      <c r="M511" s="88"/>
    </row>
    <row r="512" spans="1:12" s="13" customFormat="1" ht="30" customHeight="1">
      <c r="A512" s="505" t="s">
        <v>24</v>
      </c>
      <c r="B512" s="505"/>
      <c r="C512" s="505"/>
      <c r="D512" s="505"/>
      <c r="E512" s="153">
        <f>E455+E428</f>
        <v>45.900000000000006</v>
      </c>
      <c r="F512" s="153">
        <f>F455+F428</f>
        <v>43.2</v>
      </c>
      <c r="G512" s="153">
        <f>G455+G428</f>
        <v>215</v>
      </c>
      <c r="H512" s="153">
        <f>H455+H428</f>
        <v>1433</v>
      </c>
      <c r="I512" s="467"/>
      <c r="K512" s="88"/>
      <c r="L512" s="88"/>
    </row>
    <row r="513" spans="1:12" s="13" customFormat="1" ht="30" customHeight="1">
      <c r="A513" s="510" t="s">
        <v>246</v>
      </c>
      <c r="B513" s="511"/>
      <c r="C513" s="511"/>
      <c r="D513" s="511"/>
      <c r="E513" s="153">
        <f>(E512+E423+E309+E225+E111)/5</f>
        <v>51.998000000000005</v>
      </c>
      <c r="F513" s="153">
        <f>(F512+F423+F309+F225+F111)/5</f>
        <v>51.16300000000001</v>
      </c>
      <c r="G513" s="153">
        <f>(G512+G423+G309+G225+G111)/5</f>
        <v>205.00685714285714</v>
      </c>
      <c r="H513" s="153">
        <f>(H512+H423+H309+H225+H111)/5</f>
        <v>1486.5024285714285</v>
      </c>
      <c r="I513" s="503" t="s">
        <v>247</v>
      </c>
      <c r="K513" s="88"/>
      <c r="L513" s="88"/>
    </row>
    <row r="514" spans="1:9" s="142" customFormat="1" ht="30" customHeight="1">
      <c r="A514" s="510" t="s">
        <v>248</v>
      </c>
      <c r="B514" s="520"/>
      <c r="C514" s="520"/>
      <c r="D514" s="520"/>
      <c r="E514" s="374" t="s">
        <v>249</v>
      </c>
      <c r="F514" s="374" t="s">
        <v>250</v>
      </c>
      <c r="G514" s="374" t="s">
        <v>251</v>
      </c>
      <c r="H514" s="374" t="s">
        <v>252</v>
      </c>
      <c r="I514" s="503"/>
    </row>
    <row r="515" spans="1:12" s="13" customFormat="1" ht="30" customHeight="1">
      <c r="A515" s="510" t="s">
        <v>253</v>
      </c>
      <c r="B515" s="511"/>
      <c r="C515" s="511"/>
      <c r="D515" s="511"/>
      <c r="E515" s="153">
        <v>90</v>
      </c>
      <c r="F515" s="153">
        <v>92</v>
      </c>
      <c r="G515" s="153">
        <v>383</v>
      </c>
      <c r="H515" s="153">
        <v>2720</v>
      </c>
      <c r="I515" s="503"/>
      <c r="K515" s="88"/>
      <c r="L515" s="88"/>
    </row>
    <row r="516" spans="1:13" s="88" customFormat="1" ht="30" customHeight="1">
      <c r="A516" s="537" t="s">
        <v>64</v>
      </c>
      <c r="B516" s="537"/>
      <c r="C516" s="537"/>
      <c r="D516" s="537"/>
      <c r="E516" s="537"/>
      <c r="F516" s="537"/>
      <c r="G516" s="537"/>
      <c r="H516" s="537"/>
      <c r="I516" s="537"/>
      <c r="M516" s="13"/>
    </row>
    <row r="517" spans="1:13" s="88" customFormat="1" ht="30" customHeight="1">
      <c r="A517" s="515" t="s">
        <v>0</v>
      </c>
      <c r="B517" s="517" t="s">
        <v>6</v>
      </c>
      <c r="C517" s="517" t="s">
        <v>7</v>
      </c>
      <c r="D517" s="515" t="s">
        <v>5</v>
      </c>
      <c r="E517" s="515"/>
      <c r="F517" s="515"/>
      <c r="G517" s="515"/>
      <c r="H517" s="515"/>
      <c r="I517" s="515"/>
      <c r="K517" s="13"/>
      <c r="L517" s="13"/>
      <c r="M517" s="13"/>
    </row>
    <row r="518" spans="1:13" s="88" customFormat="1" ht="30" customHeight="1">
      <c r="A518" s="515"/>
      <c r="B518" s="517"/>
      <c r="C518" s="517"/>
      <c r="D518" s="517" t="s">
        <v>8</v>
      </c>
      <c r="E518" s="519" t="s">
        <v>1</v>
      </c>
      <c r="F518" s="519" t="s">
        <v>2</v>
      </c>
      <c r="G518" s="519" t="s">
        <v>9</v>
      </c>
      <c r="H518" s="532" t="s">
        <v>3</v>
      </c>
      <c r="I518" s="513" t="s">
        <v>245</v>
      </c>
      <c r="K518" s="13"/>
      <c r="L518" s="13"/>
      <c r="M518" s="13"/>
    </row>
    <row r="519" spans="1:13" s="88" customFormat="1" ht="30" customHeight="1">
      <c r="A519" s="515"/>
      <c r="B519" s="517"/>
      <c r="C519" s="517"/>
      <c r="D519" s="517"/>
      <c r="E519" s="519"/>
      <c r="F519" s="519"/>
      <c r="G519" s="519"/>
      <c r="H519" s="532"/>
      <c r="I519" s="513"/>
      <c r="K519" s="13"/>
      <c r="L519" s="13"/>
      <c r="M519" s="13"/>
    </row>
    <row r="520" spans="1:9" s="13" customFormat="1" ht="30" customHeight="1">
      <c r="A520" s="507" t="s">
        <v>132</v>
      </c>
      <c r="B520" s="507"/>
      <c r="C520" s="507"/>
      <c r="D520" s="156">
        <f>D521+D542+D546+D551</f>
        <v>610</v>
      </c>
      <c r="E520" s="133">
        <f>E521+E542+E546+E550+E551</f>
        <v>18.8</v>
      </c>
      <c r="F520" s="133">
        <f>F521+F542+F546+F550+F551</f>
        <v>23.7</v>
      </c>
      <c r="G520" s="133">
        <f>G521+G542+G546+G550+G551</f>
        <v>80.3</v>
      </c>
      <c r="H520" s="133">
        <f>H521+H542+H546+H550+H551</f>
        <v>608.8</v>
      </c>
      <c r="I520" s="451"/>
    </row>
    <row r="521" spans="1:9" s="13" customFormat="1" ht="30" customHeight="1">
      <c r="A521" s="533" t="s">
        <v>356</v>
      </c>
      <c r="B521" s="533"/>
      <c r="C521" s="533"/>
      <c r="D521" s="27">
        <v>200</v>
      </c>
      <c r="E521" s="63">
        <v>8.8</v>
      </c>
      <c r="F521" s="63">
        <v>9.7</v>
      </c>
      <c r="G521" s="63">
        <v>28.4</v>
      </c>
      <c r="H521" s="62">
        <f>G521*4+F521*9+E521*4</f>
        <v>236.09999999999997</v>
      </c>
      <c r="I521" s="444" t="s">
        <v>264</v>
      </c>
    </row>
    <row r="522" spans="1:13" s="88" customFormat="1" ht="30" customHeight="1">
      <c r="A522" s="72" t="s">
        <v>146</v>
      </c>
      <c r="B522" s="49">
        <v>40</v>
      </c>
      <c r="C522" s="49">
        <v>40</v>
      </c>
      <c r="D522" s="5"/>
      <c r="E522" s="144"/>
      <c r="F522" s="144"/>
      <c r="G522" s="144"/>
      <c r="H522" s="185"/>
      <c r="I522" s="443"/>
      <c r="K522" s="13"/>
      <c r="L522" s="13"/>
      <c r="M522" s="13"/>
    </row>
    <row r="523" spans="1:12" s="13" customFormat="1" ht="30" customHeight="1">
      <c r="A523" s="75" t="s">
        <v>4</v>
      </c>
      <c r="B523" s="49">
        <v>6</v>
      </c>
      <c r="C523" s="49">
        <v>6</v>
      </c>
      <c r="D523" s="5"/>
      <c r="E523" s="144"/>
      <c r="F523" s="144"/>
      <c r="G523" s="144"/>
      <c r="H523" s="185"/>
      <c r="I523" s="443"/>
      <c r="K523" s="88"/>
      <c r="L523" s="88"/>
    </row>
    <row r="524" spans="1:9" s="13" customFormat="1" ht="30" customHeight="1">
      <c r="A524" s="75" t="s">
        <v>70</v>
      </c>
      <c r="B524" s="49">
        <v>168</v>
      </c>
      <c r="C524" s="49">
        <v>168</v>
      </c>
      <c r="D524" s="5"/>
      <c r="E524" s="144"/>
      <c r="F524" s="144"/>
      <c r="G524" s="144"/>
      <c r="H524" s="185"/>
      <c r="I524" s="443"/>
    </row>
    <row r="525" spans="1:9" s="13" customFormat="1" ht="30" customHeight="1">
      <c r="A525" s="81" t="s">
        <v>56</v>
      </c>
      <c r="B525" s="280">
        <f>B524*460/1000</f>
        <v>77.28</v>
      </c>
      <c r="C525" s="280">
        <f>C524*460/1000</f>
        <v>77.28</v>
      </c>
      <c r="D525" s="219"/>
      <c r="E525" s="63"/>
      <c r="F525" s="63"/>
      <c r="G525" s="63"/>
      <c r="H525" s="62"/>
      <c r="I525" s="443"/>
    </row>
    <row r="526" spans="1:9" s="142" customFormat="1" ht="28.5" customHeight="1">
      <c r="A526" s="81" t="s">
        <v>57</v>
      </c>
      <c r="B526" s="280">
        <f>B524*120/1000</f>
        <v>20.16</v>
      </c>
      <c r="C526" s="280">
        <f>C524*120/1000</f>
        <v>20.16</v>
      </c>
      <c r="D526" s="219"/>
      <c r="E526" s="63"/>
      <c r="F526" s="63"/>
      <c r="G526" s="63"/>
      <c r="H526" s="62"/>
      <c r="I526" s="443"/>
    </row>
    <row r="527" spans="1:13" s="88" customFormat="1" ht="28.5" customHeight="1">
      <c r="A527" s="272" t="s">
        <v>185</v>
      </c>
      <c r="B527" s="280">
        <f>B524-B525</f>
        <v>90.72</v>
      </c>
      <c r="C527" s="280">
        <f>C524-C525</f>
        <v>90.72</v>
      </c>
      <c r="D527" s="219"/>
      <c r="E527" s="63"/>
      <c r="F527" s="63"/>
      <c r="G527" s="63"/>
      <c r="H527" s="62"/>
      <c r="I527" s="443"/>
      <c r="K527" s="13"/>
      <c r="L527" s="13"/>
      <c r="M527" s="13"/>
    </row>
    <row r="528" spans="1:13" s="88" customFormat="1" ht="28.5" customHeight="1">
      <c r="A528" s="272" t="s">
        <v>186</v>
      </c>
      <c r="B528" s="280">
        <f>B524-B526</f>
        <v>147.84</v>
      </c>
      <c r="C528" s="280">
        <f>C524-C526</f>
        <v>147.84</v>
      </c>
      <c r="D528" s="219"/>
      <c r="E528" s="63"/>
      <c r="F528" s="63"/>
      <c r="G528" s="63"/>
      <c r="H528" s="62"/>
      <c r="I528" s="443"/>
      <c r="K528" s="13"/>
      <c r="L528" s="13"/>
      <c r="M528" s="142"/>
    </row>
    <row r="529" spans="1:13" s="88" customFormat="1" ht="28.5" customHeight="1">
      <c r="A529" s="72" t="s">
        <v>19</v>
      </c>
      <c r="B529" s="5">
        <v>5</v>
      </c>
      <c r="C529" s="5">
        <v>5</v>
      </c>
      <c r="D529" s="5"/>
      <c r="E529" s="144"/>
      <c r="F529" s="144"/>
      <c r="G529" s="144"/>
      <c r="H529" s="185"/>
      <c r="I529" s="443"/>
      <c r="K529" s="13"/>
      <c r="L529" s="13"/>
      <c r="M529" s="13"/>
    </row>
    <row r="530" spans="1:13" s="88" customFormat="1" ht="28.5" customHeight="1">
      <c r="A530" s="508" t="s">
        <v>95</v>
      </c>
      <c r="B530" s="508"/>
      <c r="C530" s="508"/>
      <c r="D530" s="508"/>
      <c r="E530" s="508"/>
      <c r="F530" s="508"/>
      <c r="G530" s="508"/>
      <c r="H530" s="508"/>
      <c r="I530" s="508"/>
      <c r="K530" s="13"/>
      <c r="L530" s="13"/>
      <c r="M530" s="13"/>
    </row>
    <row r="531" spans="1:12" s="88" customFormat="1" ht="28.5" customHeight="1">
      <c r="A531" s="509" t="s">
        <v>357</v>
      </c>
      <c r="B531" s="509"/>
      <c r="C531" s="509"/>
      <c r="D531" s="27">
        <v>200</v>
      </c>
      <c r="E531" s="121">
        <v>7.5</v>
      </c>
      <c r="F531" s="121">
        <v>9.1</v>
      </c>
      <c r="G531" s="121">
        <v>28.5</v>
      </c>
      <c r="H531" s="62">
        <f>G531*4+F531*9+E531*4</f>
        <v>225.89999999999998</v>
      </c>
      <c r="I531" s="444" t="s">
        <v>355</v>
      </c>
      <c r="K531" s="13"/>
      <c r="L531" s="13"/>
    </row>
    <row r="532" spans="1:12" s="88" customFormat="1" ht="28.5" customHeight="1">
      <c r="A532" s="77" t="s">
        <v>105</v>
      </c>
      <c r="B532" s="277">
        <v>15</v>
      </c>
      <c r="C532" s="277">
        <v>15</v>
      </c>
      <c r="D532" s="219"/>
      <c r="E532" s="63"/>
      <c r="F532" s="63"/>
      <c r="G532" s="63"/>
      <c r="H532" s="63"/>
      <c r="I532" s="444"/>
      <c r="K532" s="13"/>
      <c r="L532" s="13"/>
    </row>
    <row r="533" spans="1:13" s="13" customFormat="1" ht="28.5" customHeight="1">
      <c r="A533" s="77" t="s">
        <v>23</v>
      </c>
      <c r="B533" s="277">
        <v>16</v>
      </c>
      <c r="C533" s="277">
        <v>16</v>
      </c>
      <c r="D533" s="219"/>
      <c r="E533" s="63"/>
      <c r="F533" s="63"/>
      <c r="G533" s="63"/>
      <c r="H533" s="63"/>
      <c r="I533" s="444"/>
      <c r="M533" s="88"/>
    </row>
    <row r="534" spans="1:13" s="13" customFormat="1" ht="28.5" customHeight="1">
      <c r="A534" s="79" t="s">
        <v>70</v>
      </c>
      <c r="B534" s="277">
        <v>176</v>
      </c>
      <c r="C534" s="277">
        <v>176</v>
      </c>
      <c r="D534" s="219"/>
      <c r="E534" s="63"/>
      <c r="F534" s="63"/>
      <c r="G534" s="63"/>
      <c r="H534" s="62"/>
      <c r="I534" s="443"/>
      <c r="M534" s="88"/>
    </row>
    <row r="535" spans="1:12" s="13" customFormat="1" ht="28.5" customHeight="1">
      <c r="A535" s="272" t="s">
        <v>56</v>
      </c>
      <c r="B535" s="273">
        <f>B534*460/1000</f>
        <v>80.96</v>
      </c>
      <c r="C535" s="273">
        <f>C534*460/1000</f>
        <v>80.96</v>
      </c>
      <c r="D535" s="219"/>
      <c r="E535" s="63"/>
      <c r="F535" s="63"/>
      <c r="G535" s="63"/>
      <c r="H535" s="62"/>
      <c r="I535" s="443"/>
      <c r="K535" s="142"/>
      <c r="L535" s="142"/>
    </row>
    <row r="536" spans="1:13" s="88" customFormat="1" ht="28.5" customHeight="1">
      <c r="A536" s="272" t="s">
        <v>57</v>
      </c>
      <c r="B536" s="273">
        <f>B534*120/1000</f>
        <v>21.12</v>
      </c>
      <c r="C536" s="273">
        <f>C534*120/1000</f>
        <v>21.12</v>
      </c>
      <c r="D536" s="219"/>
      <c r="E536" s="63"/>
      <c r="F536" s="63"/>
      <c r="G536" s="63"/>
      <c r="H536" s="62"/>
      <c r="I536" s="443"/>
      <c r="M536" s="13"/>
    </row>
    <row r="537" spans="1:9" s="13" customFormat="1" ht="28.5" customHeight="1">
      <c r="A537" s="264" t="s">
        <v>185</v>
      </c>
      <c r="B537" s="274">
        <f>B534-B535</f>
        <v>95.04</v>
      </c>
      <c r="C537" s="274">
        <f>C534-C535</f>
        <v>95.04</v>
      </c>
      <c r="D537" s="266"/>
      <c r="E537" s="267"/>
      <c r="F537" s="267"/>
      <c r="G537" s="267"/>
      <c r="H537" s="268"/>
      <c r="I537" s="447"/>
    </row>
    <row r="538" spans="1:9" s="13" customFormat="1" ht="28.5" customHeight="1">
      <c r="A538" s="264" t="s">
        <v>186</v>
      </c>
      <c r="B538" s="274">
        <f>B534-B536</f>
        <v>154.88</v>
      </c>
      <c r="C538" s="274">
        <f>C534-C536</f>
        <v>154.88</v>
      </c>
      <c r="D538" s="266"/>
      <c r="E538" s="267"/>
      <c r="F538" s="267"/>
      <c r="G538" s="267"/>
      <c r="H538" s="268"/>
      <c r="I538" s="447"/>
    </row>
    <row r="539" spans="1:13" s="88" customFormat="1" ht="28.5" customHeight="1">
      <c r="A539" s="79" t="s">
        <v>4</v>
      </c>
      <c r="B539" s="278">
        <v>6</v>
      </c>
      <c r="C539" s="278">
        <v>6</v>
      </c>
      <c r="D539" s="219"/>
      <c r="E539" s="63"/>
      <c r="F539" s="63"/>
      <c r="G539" s="63"/>
      <c r="H539" s="62"/>
      <c r="I539" s="443"/>
      <c r="K539" s="13"/>
      <c r="L539" s="13"/>
      <c r="M539" s="13"/>
    </row>
    <row r="540" spans="1:12" s="88" customFormat="1" ht="28.5" customHeight="1">
      <c r="A540" s="79" t="s">
        <v>71</v>
      </c>
      <c r="B540" s="277">
        <v>0.8</v>
      </c>
      <c r="C540" s="277">
        <v>0.8</v>
      </c>
      <c r="D540" s="219"/>
      <c r="E540" s="63"/>
      <c r="F540" s="63"/>
      <c r="G540" s="63"/>
      <c r="H540" s="62"/>
      <c r="I540" s="443"/>
      <c r="K540" s="13"/>
      <c r="L540" s="13"/>
    </row>
    <row r="541" spans="1:13" s="88" customFormat="1" ht="28.5" customHeight="1">
      <c r="A541" s="79" t="s">
        <v>19</v>
      </c>
      <c r="B541" s="279">
        <v>5</v>
      </c>
      <c r="C541" s="279">
        <v>5</v>
      </c>
      <c r="D541" s="27"/>
      <c r="E541" s="63"/>
      <c r="F541" s="63"/>
      <c r="G541" s="63"/>
      <c r="H541" s="62"/>
      <c r="I541" s="443"/>
      <c r="K541" s="13"/>
      <c r="L541" s="13"/>
      <c r="M541" s="13"/>
    </row>
    <row r="542" spans="1:9" s="142" customFormat="1" ht="28.5" customHeight="1">
      <c r="A542" s="544" t="s">
        <v>345</v>
      </c>
      <c r="B542" s="544"/>
      <c r="C542" s="544"/>
      <c r="D542" s="219">
        <v>60</v>
      </c>
      <c r="E542" s="63">
        <v>4.4</v>
      </c>
      <c r="F542" s="63">
        <v>10.5</v>
      </c>
      <c r="G542" s="63">
        <v>12.1</v>
      </c>
      <c r="H542" s="62">
        <f>G542*4+F542*9+E542*4</f>
        <v>160.5</v>
      </c>
      <c r="I542" s="387" t="s">
        <v>346</v>
      </c>
    </row>
    <row r="543" spans="1:9" s="13" customFormat="1" ht="30" customHeight="1">
      <c r="A543" s="75" t="s">
        <v>19</v>
      </c>
      <c r="B543" s="51">
        <v>10</v>
      </c>
      <c r="C543" s="51">
        <v>10</v>
      </c>
      <c r="D543" s="219"/>
      <c r="E543" s="63"/>
      <c r="F543" s="63"/>
      <c r="G543" s="63"/>
      <c r="H543" s="63"/>
      <c r="I543" s="221"/>
    </row>
    <row r="544" spans="1:13" s="13" customFormat="1" ht="30" customHeight="1">
      <c r="A544" s="75" t="s">
        <v>347</v>
      </c>
      <c r="B544" s="50">
        <v>21</v>
      </c>
      <c r="C544" s="50">
        <v>20</v>
      </c>
      <c r="D544" s="29"/>
      <c r="E544" s="63"/>
      <c r="F544" s="63"/>
      <c r="G544" s="63"/>
      <c r="H544" s="62"/>
      <c r="I544" s="221"/>
      <c r="M544" s="88"/>
    </row>
    <row r="545" spans="1:13" s="13" customFormat="1" ht="30" customHeight="1">
      <c r="A545" s="124" t="s">
        <v>164</v>
      </c>
      <c r="B545" s="122">
        <v>30</v>
      </c>
      <c r="C545" s="122">
        <v>30</v>
      </c>
      <c r="D545" s="61"/>
      <c r="E545" s="63"/>
      <c r="F545" s="63"/>
      <c r="G545" s="63"/>
      <c r="H545" s="62"/>
      <c r="I545" s="221"/>
      <c r="M545" s="88"/>
    </row>
    <row r="546" spans="1:13" s="13" customFormat="1" ht="30" customHeight="1">
      <c r="A546" s="504" t="s">
        <v>358</v>
      </c>
      <c r="B546" s="504"/>
      <c r="C546" s="504"/>
      <c r="D546" s="29">
        <v>200</v>
      </c>
      <c r="E546" s="63">
        <v>4.7</v>
      </c>
      <c r="F546" s="63">
        <v>3.3</v>
      </c>
      <c r="G546" s="63">
        <v>21.8</v>
      </c>
      <c r="H546" s="62">
        <f>G546*4+F546*9+E546*4</f>
        <v>135.70000000000002</v>
      </c>
      <c r="I546" s="444" t="s">
        <v>270</v>
      </c>
      <c r="M546" s="88"/>
    </row>
    <row r="547" spans="1:13" s="13" customFormat="1" ht="30" customHeight="1">
      <c r="A547" s="75" t="s">
        <v>74</v>
      </c>
      <c r="B547" s="50">
        <v>5</v>
      </c>
      <c r="C547" s="50">
        <v>5</v>
      </c>
      <c r="D547" s="50"/>
      <c r="E547" s="144"/>
      <c r="F547" s="144"/>
      <c r="G547" s="144"/>
      <c r="H547" s="185"/>
      <c r="I547" s="443"/>
      <c r="M547" s="88"/>
    </row>
    <row r="548" spans="1:13" s="173" customFormat="1" ht="30" customHeight="1">
      <c r="A548" s="75" t="s">
        <v>4</v>
      </c>
      <c r="B548" s="40">
        <v>3</v>
      </c>
      <c r="C548" s="40">
        <v>3</v>
      </c>
      <c r="D548" s="50"/>
      <c r="E548" s="55"/>
      <c r="F548" s="55"/>
      <c r="G548" s="31"/>
      <c r="H548" s="35"/>
      <c r="I548" s="468"/>
      <c r="K548" s="13"/>
      <c r="L548" s="13"/>
      <c r="M548" s="13"/>
    </row>
    <row r="549" spans="1:12" s="88" customFormat="1" ht="30" customHeight="1">
      <c r="A549" s="75" t="s">
        <v>107</v>
      </c>
      <c r="B549" s="44">
        <v>38</v>
      </c>
      <c r="C549" s="44">
        <v>38</v>
      </c>
      <c r="D549" s="41"/>
      <c r="E549" s="146"/>
      <c r="F549" s="146"/>
      <c r="G549" s="146"/>
      <c r="H549" s="146"/>
      <c r="I549" s="443"/>
      <c r="K549" s="13"/>
      <c r="L549" s="13"/>
    </row>
    <row r="550" spans="1:12" s="88" customFormat="1" ht="30" customHeight="1">
      <c r="A550" s="495" t="s">
        <v>27</v>
      </c>
      <c r="B550" s="122">
        <v>20</v>
      </c>
      <c r="C550" s="122">
        <v>20</v>
      </c>
      <c r="D550" s="29">
        <v>20</v>
      </c>
      <c r="E550" s="31">
        <v>0.7</v>
      </c>
      <c r="F550" s="31">
        <v>0.2</v>
      </c>
      <c r="G550" s="31">
        <v>9.4</v>
      </c>
      <c r="H550" s="35">
        <v>41.3</v>
      </c>
      <c r="I550" s="444"/>
      <c r="K550" s="13"/>
      <c r="L550" s="13"/>
    </row>
    <row r="551" spans="1:13" s="13" customFormat="1" ht="30" customHeight="1">
      <c r="A551" s="516" t="s">
        <v>271</v>
      </c>
      <c r="B551" s="516"/>
      <c r="C551" s="516"/>
      <c r="D551" s="36">
        <v>150</v>
      </c>
      <c r="E551" s="37">
        <v>0.2</v>
      </c>
      <c r="F551" s="37">
        <v>0</v>
      </c>
      <c r="G551" s="37">
        <v>8.6</v>
      </c>
      <c r="H551" s="228">
        <f>E551*4+F551*9+G551*4</f>
        <v>35.199999999999996</v>
      </c>
      <c r="I551" s="304" t="s">
        <v>272</v>
      </c>
      <c r="M551" s="88"/>
    </row>
    <row r="552" spans="1:13" s="88" customFormat="1" ht="30" customHeight="1">
      <c r="A552" s="507" t="s">
        <v>77</v>
      </c>
      <c r="B552" s="507"/>
      <c r="C552" s="507"/>
      <c r="D552" s="184">
        <f>D553+270+D579+D588+D592</f>
        <v>850</v>
      </c>
      <c r="E552" s="59">
        <f>E553+E558+E579+E588+E592+E595+E597</f>
        <v>28.30666666666667</v>
      </c>
      <c r="F552" s="59">
        <f>F553+F558+F579+F588+F592+F595+F597</f>
        <v>21.153333333333336</v>
      </c>
      <c r="G552" s="59">
        <f>G553+G558+G579+G588+G592+G595+G597</f>
        <v>135.55333333333334</v>
      </c>
      <c r="H552" s="154">
        <f>H553+H558+H579+H588+H592+H595+H597</f>
        <v>843.4200000000001</v>
      </c>
      <c r="I552" s="455"/>
      <c r="K552" s="13"/>
      <c r="L552" s="13"/>
      <c r="M552" s="13"/>
    </row>
    <row r="553" spans="1:12" s="88" customFormat="1" ht="30" customHeight="1">
      <c r="A553" s="516" t="s">
        <v>359</v>
      </c>
      <c r="B553" s="516"/>
      <c r="C553" s="516"/>
      <c r="D553" s="203">
        <v>100</v>
      </c>
      <c r="E553" s="121">
        <v>0.6666666666666666</v>
      </c>
      <c r="F553" s="121">
        <v>0.3333333333333333</v>
      </c>
      <c r="G553" s="121">
        <v>2.3333333333333335</v>
      </c>
      <c r="H553" s="62">
        <f>G553*4+F553*9+E553*4</f>
        <v>15</v>
      </c>
      <c r="I553" s="417" t="s">
        <v>360</v>
      </c>
      <c r="K553" s="13"/>
      <c r="L553" s="13"/>
    </row>
    <row r="554" spans="1:13" s="13" customFormat="1" ht="30" customHeight="1">
      <c r="A554" s="79" t="s">
        <v>124</v>
      </c>
      <c r="B554" s="126">
        <f>C554*1.02</f>
        <v>51</v>
      </c>
      <c r="C554" s="83">
        <v>50</v>
      </c>
      <c r="D554" s="82"/>
      <c r="E554" s="121"/>
      <c r="F554" s="121"/>
      <c r="G554" s="121"/>
      <c r="H554" s="121"/>
      <c r="I554" s="417"/>
      <c r="M554" s="88"/>
    </row>
    <row r="555" spans="1:13" s="88" customFormat="1" ht="30" customHeight="1">
      <c r="A555" s="80" t="s">
        <v>204</v>
      </c>
      <c r="B555" s="126">
        <f>C555*1.18</f>
        <v>59</v>
      </c>
      <c r="C555" s="83">
        <v>50</v>
      </c>
      <c r="D555" s="82"/>
      <c r="E555" s="121"/>
      <c r="F555" s="121"/>
      <c r="G555" s="121"/>
      <c r="H555" s="114"/>
      <c r="I555" s="417"/>
      <c r="K555" s="13"/>
      <c r="L555" s="13"/>
      <c r="M555" s="13"/>
    </row>
    <row r="556" spans="1:9" s="88" customFormat="1" ht="30" customHeight="1">
      <c r="A556" s="80" t="s">
        <v>123</v>
      </c>
      <c r="B556" s="126">
        <f>C556*1.02</f>
        <v>51</v>
      </c>
      <c r="C556" s="83">
        <v>50</v>
      </c>
      <c r="D556" s="203"/>
      <c r="E556" s="121"/>
      <c r="F556" s="121"/>
      <c r="G556" s="121"/>
      <c r="H556" s="121"/>
      <c r="I556" s="417"/>
    </row>
    <row r="557" spans="1:12" s="88" customFormat="1" ht="30" customHeight="1">
      <c r="A557" s="80" t="s">
        <v>141</v>
      </c>
      <c r="B557" s="126">
        <f>C557*1.05</f>
        <v>52.5</v>
      </c>
      <c r="C557" s="83">
        <v>50</v>
      </c>
      <c r="D557" s="203"/>
      <c r="E557" s="121"/>
      <c r="F557" s="121"/>
      <c r="G557" s="121"/>
      <c r="H557" s="157"/>
      <c r="I557" s="417"/>
      <c r="K557" s="13"/>
      <c r="L557" s="13"/>
    </row>
    <row r="558" spans="1:12" s="88" customFormat="1" ht="30" customHeight="1">
      <c r="A558" s="509" t="s">
        <v>361</v>
      </c>
      <c r="B558" s="509"/>
      <c r="C558" s="509"/>
      <c r="D558" s="58" t="s">
        <v>168</v>
      </c>
      <c r="E558" s="63">
        <v>5.1</v>
      </c>
      <c r="F558" s="63">
        <v>5.9</v>
      </c>
      <c r="G558" s="63">
        <v>21</v>
      </c>
      <c r="H558" s="62">
        <f>G558*4+F558*9+E558*4</f>
        <v>157.5</v>
      </c>
      <c r="I558" s="444" t="s">
        <v>362</v>
      </c>
      <c r="K558" s="13"/>
      <c r="L558" s="13"/>
    </row>
    <row r="559" spans="1:12" s="88" customFormat="1" ht="30" customHeight="1">
      <c r="A559" s="253" t="s">
        <v>363</v>
      </c>
      <c r="B559" s="250"/>
      <c r="C559" s="158">
        <v>15</v>
      </c>
      <c r="D559" s="158"/>
      <c r="E559" s="63"/>
      <c r="F559" s="63"/>
      <c r="G559" s="63"/>
      <c r="H559" s="62"/>
      <c r="I559" s="444" t="s">
        <v>364</v>
      </c>
      <c r="K559" s="13"/>
      <c r="L559" s="13"/>
    </row>
    <row r="560" spans="1:12" s="88" customFormat="1" ht="30" customHeight="1">
      <c r="A560" s="73" t="s">
        <v>111</v>
      </c>
      <c r="B560" s="38">
        <f>C560*1.36</f>
        <v>23.12</v>
      </c>
      <c r="C560" s="5">
        <v>17</v>
      </c>
      <c r="D560" s="52"/>
      <c r="E560" s="144"/>
      <c r="F560" s="144"/>
      <c r="G560" s="144"/>
      <c r="H560" s="185"/>
      <c r="I560" s="444"/>
      <c r="K560" s="13"/>
      <c r="L560" s="13"/>
    </row>
    <row r="561" spans="1:9" s="13" customFormat="1" ht="30" customHeight="1">
      <c r="A561" s="73" t="s">
        <v>112</v>
      </c>
      <c r="B561" s="38">
        <f>C561*1.18</f>
        <v>20.06</v>
      </c>
      <c r="C561" s="5">
        <f>C560</f>
        <v>17</v>
      </c>
      <c r="D561" s="42"/>
      <c r="E561" s="43"/>
      <c r="F561" s="43"/>
      <c r="G561" s="43"/>
      <c r="H561" s="160"/>
      <c r="I561" s="449"/>
    </row>
    <row r="562" spans="1:9" s="13" customFormat="1" ht="30" customHeight="1">
      <c r="A562" s="72" t="s">
        <v>18</v>
      </c>
      <c r="B562" s="51">
        <f>C562*1.19</f>
        <v>1.785</v>
      </c>
      <c r="C562" s="5">
        <v>1.5</v>
      </c>
      <c r="D562" s="42"/>
      <c r="E562" s="43"/>
      <c r="F562" s="43"/>
      <c r="G562" s="43"/>
      <c r="H562" s="160"/>
      <c r="I562" s="449"/>
    </row>
    <row r="563" spans="1:12" s="88" customFormat="1" ht="30" customHeight="1">
      <c r="A563" s="124" t="s">
        <v>84</v>
      </c>
      <c r="B563" s="144">
        <v>1.5</v>
      </c>
      <c r="C563" s="5">
        <v>1.5</v>
      </c>
      <c r="D563" s="42"/>
      <c r="E563" s="43"/>
      <c r="F563" s="43"/>
      <c r="G563" s="43"/>
      <c r="H563" s="160"/>
      <c r="I563" s="449"/>
      <c r="K563" s="13"/>
      <c r="L563" s="13"/>
    </row>
    <row r="564" spans="1:9" s="88" customFormat="1" ht="30" customHeight="1">
      <c r="A564" s="124" t="s">
        <v>109</v>
      </c>
      <c r="B564" s="144">
        <v>1.2</v>
      </c>
      <c r="C564" s="5">
        <v>1.2</v>
      </c>
      <c r="D564" s="42"/>
      <c r="E564" s="43"/>
      <c r="F564" s="43"/>
      <c r="G564" s="43"/>
      <c r="H564" s="160"/>
      <c r="I564" s="449"/>
    </row>
    <row r="565" spans="1:9" s="13" customFormat="1" ht="30" customHeight="1">
      <c r="A565" s="72" t="s">
        <v>17</v>
      </c>
      <c r="B565" s="49">
        <f>C565*1.25</f>
        <v>80</v>
      </c>
      <c r="C565" s="51">
        <v>64</v>
      </c>
      <c r="D565" s="52"/>
      <c r="E565" s="144"/>
      <c r="F565" s="144"/>
      <c r="G565" s="144"/>
      <c r="H565" s="185"/>
      <c r="I565" s="444"/>
    </row>
    <row r="566" spans="1:9" s="142" customFormat="1" ht="30" customHeight="1">
      <c r="A566" s="72" t="s">
        <v>16</v>
      </c>
      <c r="B566" s="51">
        <f>C566*1.33</f>
        <v>85.34166666666668</v>
      </c>
      <c r="C566" s="51">
        <v>64.16666666666667</v>
      </c>
      <c r="D566" s="52"/>
      <c r="E566" s="144"/>
      <c r="F566" s="144"/>
      <c r="G566" s="144"/>
      <c r="H566" s="185"/>
      <c r="I566" s="444"/>
    </row>
    <row r="567" spans="1:12" s="13" customFormat="1" ht="30" customHeight="1">
      <c r="A567" s="72" t="s">
        <v>12</v>
      </c>
      <c r="B567" s="49">
        <f>C567*1.33</f>
        <v>57.63333333333334</v>
      </c>
      <c r="C567" s="51">
        <v>43.333333333333336</v>
      </c>
      <c r="D567" s="52"/>
      <c r="E567" s="144"/>
      <c r="F567" s="144"/>
      <c r="G567" s="144"/>
      <c r="H567" s="185"/>
      <c r="I567" s="444"/>
      <c r="K567" s="88"/>
      <c r="L567" s="88"/>
    </row>
    <row r="568" spans="1:12" s="13" customFormat="1" ht="30" customHeight="1">
      <c r="A568" s="72" t="s">
        <v>13</v>
      </c>
      <c r="B568" s="49">
        <f>C568*1.43</f>
        <v>61.96666666666667</v>
      </c>
      <c r="C568" s="51">
        <v>43.333333333333336</v>
      </c>
      <c r="D568" s="52"/>
      <c r="E568" s="144"/>
      <c r="F568" s="144"/>
      <c r="G568" s="144"/>
      <c r="H568" s="185"/>
      <c r="I568" s="444"/>
      <c r="K568" s="88"/>
      <c r="L568" s="88"/>
    </row>
    <row r="569" spans="1:12" s="13" customFormat="1" ht="30" customHeight="1">
      <c r="A569" s="75" t="s">
        <v>14</v>
      </c>
      <c r="B569" s="49">
        <f>C569*1.54</f>
        <v>66.73333333333333</v>
      </c>
      <c r="C569" s="51">
        <v>43.333333333333336</v>
      </c>
      <c r="D569" s="52"/>
      <c r="E569" s="144"/>
      <c r="F569" s="144"/>
      <c r="G569" s="144"/>
      <c r="H569" s="185"/>
      <c r="I569" s="444"/>
      <c r="K569" s="88"/>
      <c r="L569" s="88"/>
    </row>
    <row r="570" spans="1:12" s="13" customFormat="1" ht="30" customHeight="1">
      <c r="A570" s="75" t="s">
        <v>15</v>
      </c>
      <c r="B570" s="49">
        <f>C570*1.67</f>
        <v>72.36666666666667</v>
      </c>
      <c r="C570" s="51">
        <v>43.333333333333336</v>
      </c>
      <c r="D570" s="52"/>
      <c r="E570" s="144"/>
      <c r="F570" s="144"/>
      <c r="G570" s="144"/>
      <c r="H570" s="185"/>
      <c r="I570" s="444"/>
      <c r="K570" s="88"/>
      <c r="L570" s="88"/>
    </row>
    <row r="571" spans="1:12" s="13" customFormat="1" ht="30" customHeight="1">
      <c r="A571" s="72" t="s">
        <v>81</v>
      </c>
      <c r="B571" s="55">
        <f>C571*1.25</f>
        <v>12.5</v>
      </c>
      <c r="C571" s="51">
        <v>10</v>
      </c>
      <c r="D571" s="52"/>
      <c r="E571" s="144"/>
      <c r="F571" s="144"/>
      <c r="G571" s="144"/>
      <c r="H571" s="185"/>
      <c r="I571" s="444"/>
      <c r="K571" s="88"/>
      <c r="L571" s="88"/>
    </row>
    <row r="572" spans="1:12" s="13" customFormat="1" ht="30" customHeight="1">
      <c r="A572" s="72" t="s">
        <v>16</v>
      </c>
      <c r="B572" s="55">
        <f>C572*1.33</f>
        <v>13.3</v>
      </c>
      <c r="C572" s="51">
        <v>10</v>
      </c>
      <c r="D572" s="52"/>
      <c r="E572" s="144"/>
      <c r="F572" s="144"/>
      <c r="G572" s="144"/>
      <c r="H572" s="185"/>
      <c r="I572" s="444"/>
      <c r="K572" s="88"/>
      <c r="L572" s="88"/>
    </row>
    <row r="573" spans="1:9" s="13" customFormat="1" ht="30" customHeight="1">
      <c r="A573" s="75" t="s">
        <v>18</v>
      </c>
      <c r="B573" s="51">
        <f>C573*1.19</f>
        <v>12.891666666666667</v>
      </c>
      <c r="C573" s="49">
        <v>10.833333333333334</v>
      </c>
      <c r="D573" s="52"/>
      <c r="E573" s="144"/>
      <c r="F573" s="144"/>
      <c r="G573" s="144"/>
      <c r="H573" s="185"/>
      <c r="I573" s="444"/>
    </row>
    <row r="574" spans="1:9" s="13" customFormat="1" ht="30" customHeight="1">
      <c r="A574" s="80" t="s">
        <v>72</v>
      </c>
      <c r="B574" s="49">
        <v>3</v>
      </c>
      <c r="C574" s="49">
        <v>3.3333333333333335</v>
      </c>
      <c r="D574" s="52"/>
      <c r="E574" s="144"/>
      <c r="F574" s="144"/>
      <c r="G574" s="144"/>
      <c r="H574" s="185"/>
      <c r="I574" s="444"/>
    </row>
    <row r="575" spans="1:9" s="13" customFormat="1" ht="30" customHeight="1">
      <c r="A575" s="124" t="s">
        <v>19</v>
      </c>
      <c r="B575" s="185">
        <v>5</v>
      </c>
      <c r="C575" s="185">
        <v>5</v>
      </c>
      <c r="D575" s="252"/>
      <c r="E575" s="144"/>
      <c r="F575" s="144"/>
      <c r="G575" s="144"/>
      <c r="H575" s="185"/>
      <c r="I575" s="444"/>
    </row>
    <row r="576" spans="1:9" s="13" customFormat="1" ht="30" customHeight="1">
      <c r="A576" s="75" t="s">
        <v>4</v>
      </c>
      <c r="B576" s="49">
        <v>1</v>
      </c>
      <c r="C576" s="49">
        <v>0.6</v>
      </c>
      <c r="D576" s="52"/>
      <c r="E576" s="144"/>
      <c r="F576" s="144"/>
      <c r="G576" s="144"/>
      <c r="H576" s="185"/>
      <c r="I576" s="444"/>
    </row>
    <row r="577" spans="1:12" s="13" customFormat="1" ht="30" customHeight="1">
      <c r="A577" s="72" t="s">
        <v>76</v>
      </c>
      <c r="B577" s="5">
        <v>5</v>
      </c>
      <c r="C577" s="5">
        <v>5</v>
      </c>
      <c r="D577" s="52"/>
      <c r="E577" s="144"/>
      <c r="F577" s="144"/>
      <c r="G577" s="144"/>
      <c r="H577" s="185"/>
      <c r="I577" s="444"/>
      <c r="K577" s="88"/>
      <c r="L577" s="88"/>
    </row>
    <row r="578" spans="1:12" s="13" customFormat="1" ht="30" customHeight="1">
      <c r="A578" s="75" t="s">
        <v>97</v>
      </c>
      <c r="B578" s="54">
        <v>0.2</v>
      </c>
      <c r="C578" s="54">
        <v>0.2</v>
      </c>
      <c r="D578" s="42"/>
      <c r="E578" s="43"/>
      <c r="F578" s="43"/>
      <c r="G578" s="43"/>
      <c r="H578" s="160"/>
      <c r="I578" s="449"/>
      <c r="K578" s="88"/>
      <c r="L578" s="88"/>
    </row>
    <row r="579" spans="1:12" s="13" customFormat="1" ht="30" customHeight="1">
      <c r="A579" s="509" t="s">
        <v>365</v>
      </c>
      <c r="B579" s="509"/>
      <c r="C579" s="509"/>
      <c r="D579" s="29">
        <v>100</v>
      </c>
      <c r="E579" s="127">
        <v>12.8</v>
      </c>
      <c r="F579" s="127">
        <v>9.4</v>
      </c>
      <c r="G579" s="127">
        <v>4.5</v>
      </c>
      <c r="H579" s="62">
        <f>G579*4+F579*9+E579*4</f>
        <v>153.8</v>
      </c>
      <c r="I579" s="444" t="s">
        <v>366</v>
      </c>
      <c r="K579" s="88"/>
      <c r="L579" s="88"/>
    </row>
    <row r="580" spans="1:12" s="13" customFormat="1" ht="30" customHeight="1">
      <c r="A580" s="73" t="s">
        <v>111</v>
      </c>
      <c r="B580" s="38">
        <f>C580*1.36</f>
        <v>107.44000000000001</v>
      </c>
      <c r="C580" s="185">
        <v>79</v>
      </c>
      <c r="D580" s="49"/>
      <c r="E580" s="144"/>
      <c r="F580" s="144"/>
      <c r="G580" s="144"/>
      <c r="H580" s="62"/>
      <c r="I580" s="443"/>
      <c r="K580" s="88"/>
      <c r="L580" s="88"/>
    </row>
    <row r="581" spans="1:12" s="13" customFormat="1" ht="30" customHeight="1">
      <c r="A581" s="73" t="s">
        <v>112</v>
      </c>
      <c r="B581" s="38">
        <f>C581*1.18</f>
        <v>93.22</v>
      </c>
      <c r="C581" s="5">
        <f>C580</f>
        <v>79</v>
      </c>
      <c r="D581" s="42"/>
      <c r="E581" s="43"/>
      <c r="F581" s="43"/>
      <c r="G581" s="43"/>
      <c r="H581" s="160"/>
      <c r="I581" s="449"/>
      <c r="K581" s="88"/>
      <c r="L581" s="88"/>
    </row>
    <row r="582" spans="1:9" s="13" customFormat="1" ht="30" customHeight="1">
      <c r="A582" s="72" t="s">
        <v>11</v>
      </c>
      <c r="B582" s="49">
        <v>5</v>
      </c>
      <c r="C582" s="49">
        <v>5</v>
      </c>
      <c r="D582" s="185"/>
      <c r="E582" s="144"/>
      <c r="F582" s="144"/>
      <c r="G582" s="144"/>
      <c r="H582" s="62"/>
      <c r="I582" s="443"/>
    </row>
    <row r="583" spans="1:12" s="13" customFormat="1" ht="30" customHeight="1">
      <c r="A583" s="72" t="s">
        <v>121</v>
      </c>
      <c r="B583" s="49"/>
      <c r="C583" s="49">
        <v>50</v>
      </c>
      <c r="D583" s="185"/>
      <c r="E583" s="144"/>
      <c r="F583" s="144"/>
      <c r="G583" s="144"/>
      <c r="H583" s="62"/>
      <c r="I583" s="443"/>
      <c r="K583" s="88"/>
      <c r="L583" s="88"/>
    </row>
    <row r="584" spans="1:12" s="13" customFormat="1" ht="30" customHeight="1">
      <c r="A584" s="75" t="s">
        <v>21</v>
      </c>
      <c r="B584" s="126">
        <v>4</v>
      </c>
      <c r="C584" s="51">
        <v>4</v>
      </c>
      <c r="D584" s="51"/>
      <c r="E584" s="144"/>
      <c r="F584" s="144"/>
      <c r="G584" s="144"/>
      <c r="H584" s="185"/>
      <c r="I584" s="443"/>
      <c r="K584" s="88"/>
      <c r="L584" s="88"/>
    </row>
    <row r="585" spans="1:12" s="88" customFormat="1" ht="30" customHeight="1">
      <c r="A585" s="75" t="s">
        <v>76</v>
      </c>
      <c r="B585" s="384">
        <v>12.5</v>
      </c>
      <c r="C585" s="55">
        <v>12.5</v>
      </c>
      <c r="D585" s="51"/>
      <c r="E585" s="144"/>
      <c r="F585" s="144"/>
      <c r="G585" s="144"/>
      <c r="H585" s="185"/>
      <c r="I585" s="443"/>
      <c r="K585" s="13"/>
      <c r="L585" s="13"/>
    </row>
    <row r="586" spans="1:13" s="13" customFormat="1" ht="30" customHeight="1">
      <c r="A586" s="75" t="s">
        <v>84</v>
      </c>
      <c r="B586" s="384">
        <v>37.5</v>
      </c>
      <c r="C586" s="55">
        <v>37.5</v>
      </c>
      <c r="D586" s="51"/>
      <c r="E586" s="144"/>
      <c r="F586" s="144"/>
      <c r="G586" s="144"/>
      <c r="H586" s="185"/>
      <c r="I586" s="443"/>
      <c r="M586" s="88"/>
    </row>
    <row r="587" spans="1:9" s="13" customFormat="1" ht="30" customHeight="1">
      <c r="A587" s="385" t="s">
        <v>18</v>
      </c>
      <c r="B587" s="386">
        <f>C587*1.19</f>
        <v>14.28</v>
      </c>
      <c r="C587" s="386">
        <v>12</v>
      </c>
      <c r="D587" s="185"/>
      <c r="E587" s="144"/>
      <c r="F587" s="121"/>
      <c r="G587" s="121"/>
      <c r="H587" s="62"/>
      <c r="I587" s="443"/>
    </row>
    <row r="588" spans="1:9" s="13" customFormat="1" ht="30" customHeight="1">
      <c r="A588" s="504" t="s">
        <v>367</v>
      </c>
      <c r="B588" s="504"/>
      <c r="C588" s="504"/>
      <c r="D588" s="27">
        <v>180</v>
      </c>
      <c r="E588" s="63">
        <v>4.44</v>
      </c>
      <c r="F588" s="63">
        <v>4.32</v>
      </c>
      <c r="G588" s="63">
        <v>40.919999999999995</v>
      </c>
      <c r="H588" s="62">
        <v>220.32000000000002</v>
      </c>
      <c r="I588" s="444" t="s">
        <v>368</v>
      </c>
    </row>
    <row r="589" spans="1:9" s="13" customFormat="1" ht="30" customHeight="1">
      <c r="A589" s="75" t="s">
        <v>23</v>
      </c>
      <c r="B589" s="5">
        <v>65</v>
      </c>
      <c r="C589" s="5">
        <v>65</v>
      </c>
      <c r="D589" s="50"/>
      <c r="E589" s="144"/>
      <c r="F589" s="144"/>
      <c r="G589" s="144"/>
      <c r="H589" s="185"/>
      <c r="I589" s="443"/>
    </row>
    <row r="590" spans="1:9" s="13" customFormat="1" ht="30" customHeight="1">
      <c r="A590" s="75" t="s">
        <v>84</v>
      </c>
      <c r="B590" s="5">
        <f>B589*6</f>
        <v>390</v>
      </c>
      <c r="C590" s="5">
        <f>C589*6</f>
        <v>390</v>
      </c>
      <c r="D590" s="50"/>
      <c r="E590" s="144"/>
      <c r="F590" s="144"/>
      <c r="G590" s="144"/>
      <c r="H590" s="185"/>
      <c r="I590" s="443"/>
    </row>
    <row r="591" spans="1:9" s="13" customFormat="1" ht="30" customHeight="1">
      <c r="A591" s="124" t="s">
        <v>19</v>
      </c>
      <c r="B591" s="122">
        <v>5</v>
      </c>
      <c r="C591" s="122">
        <v>5</v>
      </c>
      <c r="D591" s="122"/>
      <c r="E591" s="144"/>
      <c r="F591" s="144"/>
      <c r="G591" s="144"/>
      <c r="H591" s="185"/>
      <c r="I591" s="444"/>
    </row>
    <row r="592" spans="1:13" s="13" customFormat="1" ht="30" customHeight="1">
      <c r="A592" s="552" t="s">
        <v>369</v>
      </c>
      <c r="B592" s="552"/>
      <c r="C592" s="552"/>
      <c r="D592" s="114">
        <v>200</v>
      </c>
      <c r="E592" s="125">
        <v>0.7</v>
      </c>
      <c r="F592" s="125">
        <v>0.3</v>
      </c>
      <c r="G592" s="125">
        <v>17.1</v>
      </c>
      <c r="H592" s="62">
        <f>G592*4+F592*9+E592*4</f>
        <v>73.9</v>
      </c>
      <c r="I592" s="444" t="s">
        <v>370</v>
      </c>
      <c r="K592" s="88"/>
      <c r="L592" s="88"/>
      <c r="M592" s="88"/>
    </row>
    <row r="593" spans="1:13" s="13" customFormat="1" ht="30" customHeight="1">
      <c r="A593" s="124" t="s">
        <v>103</v>
      </c>
      <c r="B593" s="122">
        <v>25</v>
      </c>
      <c r="C593" s="122">
        <v>25</v>
      </c>
      <c r="D593" s="114"/>
      <c r="E593" s="64"/>
      <c r="F593" s="64"/>
      <c r="G593" s="64"/>
      <c r="H593" s="62"/>
      <c r="I593" s="444"/>
      <c r="K593" s="88"/>
      <c r="L593" s="88"/>
      <c r="M593" s="88"/>
    </row>
    <row r="594" spans="1:13" s="13" customFormat="1" ht="30" customHeight="1">
      <c r="A594" s="124" t="s">
        <v>4</v>
      </c>
      <c r="B594" s="122">
        <v>10</v>
      </c>
      <c r="C594" s="122">
        <v>10</v>
      </c>
      <c r="D594" s="122"/>
      <c r="E594" s="122"/>
      <c r="F594" s="122"/>
      <c r="G594" s="122"/>
      <c r="H594" s="122"/>
      <c r="I594" s="369"/>
      <c r="M594" s="88"/>
    </row>
    <row r="595" spans="1:13" s="13" customFormat="1" ht="30" customHeight="1">
      <c r="A595" s="494" t="s">
        <v>20</v>
      </c>
      <c r="B595" s="181">
        <v>60</v>
      </c>
      <c r="C595" s="181">
        <v>60</v>
      </c>
      <c r="D595" s="114">
        <v>60</v>
      </c>
      <c r="E595" s="121">
        <v>2.8</v>
      </c>
      <c r="F595" s="121">
        <v>0.6</v>
      </c>
      <c r="G595" s="121">
        <v>26.2</v>
      </c>
      <c r="H595" s="157">
        <v>121.6</v>
      </c>
      <c r="I595" s="444"/>
      <c r="M595" s="88"/>
    </row>
    <row r="596" spans="1:13" s="13" customFormat="1" ht="30" customHeight="1">
      <c r="A596" s="504" t="s">
        <v>100</v>
      </c>
      <c r="B596" s="504"/>
      <c r="C596" s="504"/>
      <c r="D596" s="114">
        <v>60</v>
      </c>
      <c r="E596" s="144"/>
      <c r="F596" s="144"/>
      <c r="G596" s="144"/>
      <c r="H596" s="144"/>
      <c r="I596" s="443"/>
      <c r="M596" s="88"/>
    </row>
    <row r="597" spans="1:13" s="13" customFormat="1" ht="30" customHeight="1">
      <c r="A597" s="495" t="s">
        <v>27</v>
      </c>
      <c r="B597" s="122">
        <v>50</v>
      </c>
      <c r="C597" s="122">
        <v>50</v>
      </c>
      <c r="D597" s="61">
        <v>50</v>
      </c>
      <c r="E597" s="63">
        <v>1.8</v>
      </c>
      <c r="F597" s="63">
        <v>0.3</v>
      </c>
      <c r="G597" s="63">
        <v>23.5</v>
      </c>
      <c r="H597" s="62">
        <v>101.30000000000001</v>
      </c>
      <c r="I597" s="444"/>
      <c r="K597" s="88"/>
      <c r="L597" s="88"/>
      <c r="M597" s="88"/>
    </row>
    <row r="598" spans="1:13" s="88" customFormat="1" ht="30" customHeight="1">
      <c r="A598" s="505" t="s">
        <v>24</v>
      </c>
      <c r="B598" s="505"/>
      <c r="C598" s="505"/>
      <c r="D598" s="505"/>
      <c r="E598" s="153">
        <f>+E552+E520</f>
        <v>47.10666666666667</v>
      </c>
      <c r="F598" s="153">
        <f>+F552+F520</f>
        <v>44.85333333333334</v>
      </c>
      <c r="G598" s="153">
        <f>+G552+G520</f>
        <v>215.85333333333335</v>
      </c>
      <c r="H598" s="153">
        <f>+H552+H520</f>
        <v>1452.22</v>
      </c>
      <c r="I598" s="467"/>
      <c r="M598" s="13"/>
    </row>
    <row r="599" spans="1:12" s="13" customFormat="1" ht="30" customHeight="1">
      <c r="A599" s="537" t="s">
        <v>65</v>
      </c>
      <c r="B599" s="537"/>
      <c r="C599" s="537"/>
      <c r="D599" s="537"/>
      <c r="E599" s="537"/>
      <c r="F599" s="537"/>
      <c r="G599" s="537"/>
      <c r="H599" s="537"/>
      <c r="I599" s="537"/>
      <c r="K599" s="88"/>
      <c r="L599" s="88"/>
    </row>
    <row r="600" spans="1:12" s="13" customFormat="1" ht="30" customHeight="1">
      <c r="A600" s="515" t="s">
        <v>0</v>
      </c>
      <c r="B600" s="517" t="s">
        <v>6</v>
      </c>
      <c r="C600" s="517" t="s">
        <v>7</v>
      </c>
      <c r="D600" s="515" t="s">
        <v>5</v>
      </c>
      <c r="E600" s="515"/>
      <c r="F600" s="515"/>
      <c r="G600" s="515"/>
      <c r="H600" s="515"/>
      <c r="I600" s="515"/>
      <c r="K600" s="88"/>
      <c r="L600" s="88"/>
    </row>
    <row r="601" spans="1:9" s="13" customFormat="1" ht="30" customHeight="1">
      <c r="A601" s="515"/>
      <c r="B601" s="517"/>
      <c r="C601" s="517"/>
      <c r="D601" s="517" t="s">
        <v>8</v>
      </c>
      <c r="E601" s="519" t="s">
        <v>1</v>
      </c>
      <c r="F601" s="519" t="s">
        <v>2</v>
      </c>
      <c r="G601" s="519" t="s">
        <v>9</v>
      </c>
      <c r="H601" s="532" t="s">
        <v>3</v>
      </c>
      <c r="I601" s="513" t="s">
        <v>245</v>
      </c>
    </row>
    <row r="602" spans="1:12" s="13" customFormat="1" ht="30" customHeight="1">
      <c r="A602" s="515"/>
      <c r="B602" s="517"/>
      <c r="C602" s="517"/>
      <c r="D602" s="517"/>
      <c r="E602" s="519"/>
      <c r="F602" s="519"/>
      <c r="G602" s="519"/>
      <c r="H602" s="532"/>
      <c r="I602" s="513"/>
      <c r="K602" s="172"/>
      <c r="L602" s="172"/>
    </row>
    <row r="603" spans="1:9" s="13" customFormat="1" ht="30" customHeight="1">
      <c r="A603" s="507" t="s">
        <v>132</v>
      </c>
      <c r="B603" s="507"/>
      <c r="C603" s="507"/>
      <c r="D603" s="156">
        <f>D615+110+D612+D619</f>
        <v>550</v>
      </c>
      <c r="E603" s="133">
        <f>E615+E604+E612+E622+E623</f>
        <v>21.86</v>
      </c>
      <c r="F603" s="133">
        <f>F615+F604+F612+F622+F623</f>
        <v>26.669999999999998</v>
      </c>
      <c r="G603" s="133">
        <f>G615+G604+G612+G622+G623</f>
        <v>68.47</v>
      </c>
      <c r="H603" s="133">
        <f>H615+H604+H612+H622+H623</f>
        <v>600.75</v>
      </c>
      <c r="I603" s="451"/>
    </row>
    <row r="604" spans="1:13" s="13" customFormat="1" ht="30" customHeight="1">
      <c r="A604" s="518" t="s">
        <v>372</v>
      </c>
      <c r="B604" s="518"/>
      <c r="C604" s="518"/>
      <c r="D604" s="27" t="s">
        <v>501</v>
      </c>
      <c r="E604" s="34">
        <v>14.8</v>
      </c>
      <c r="F604" s="34">
        <v>19.5</v>
      </c>
      <c r="G604" s="27">
        <v>8.1</v>
      </c>
      <c r="H604" s="261">
        <f>G604*4+F604*9+E604*4</f>
        <v>267.1</v>
      </c>
      <c r="I604" s="444" t="s">
        <v>373</v>
      </c>
      <c r="K604" s="88"/>
      <c r="L604" s="88"/>
      <c r="M604" s="88"/>
    </row>
    <row r="605" spans="1:12" s="13" customFormat="1" ht="30" customHeight="1">
      <c r="A605" s="73" t="s">
        <v>195</v>
      </c>
      <c r="B605" s="38">
        <f>C605*1.18</f>
        <v>120.36</v>
      </c>
      <c r="C605" s="49">
        <v>102</v>
      </c>
      <c r="D605" s="5"/>
      <c r="E605" s="5"/>
      <c r="F605" s="5"/>
      <c r="G605" s="5"/>
      <c r="H605" s="5"/>
      <c r="I605" s="477"/>
      <c r="K605" s="88"/>
      <c r="L605" s="88"/>
    </row>
    <row r="606" spans="1:12" s="13" customFormat="1" ht="30" customHeight="1">
      <c r="A606" s="166" t="s">
        <v>149</v>
      </c>
      <c r="B606" s="38">
        <f>C606*1.36</f>
        <v>138.72</v>
      </c>
      <c r="C606" s="49">
        <v>102</v>
      </c>
      <c r="D606" s="5"/>
      <c r="E606" s="5"/>
      <c r="F606" s="5"/>
      <c r="G606" s="5"/>
      <c r="H606" s="5"/>
      <c r="I606" s="451"/>
      <c r="K606" s="88"/>
      <c r="L606" s="88"/>
    </row>
    <row r="607" spans="1:13" s="88" customFormat="1" ht="30" customHeight="1">
      <c r="A607" s="72" t="s">
        <v>18</v>
      </c>
      <c r="B607" s="49">
        <f>C607*1.19</f>
        <v>16.66</v>
      </c>
      <c r="C607" s="49">
        <v>14</v>
      </c>
      <c r="D607" s="5"/>
      <c r="E607" s="5"/>
      <c r="F607" s="5"/>
      <c r="G607" s="5"/>
      <c r="H607" s="5"/>
      <c r="I607" s="451"/>
      <c r="M607" s="13"/>
    </row>
    <row r="608" spans="1:12" s="13" customFormat="1" ht="30" customHeight="1">
      <c r="A608" s="124" t="s">
        <v>293</v>
      </c>
      <c r="B608" s="49">
        <v>18</v>
      </c>
      <c r="C608" s="49">
        <v>18</v>
      </c>
      <c r="D608" s="5"/>
      <c r="E608" s="5"/>
      <c r="F608" s="5"/>
      <c r="G608" s="5"/>
      <c r="H608" s="5"/>
      <c r="I608" s="451"/>
      <c r="K608" s="88"/>
      <c r="L608" s="88"/>
    </row>
    <row r="609" spans="1:9" s="13" customFormat="1" ht="30" customHeight="1">
      <c r="A609" s="124" t="s">
        <v>109</v>
      </c>
      <c r="B609" s="49">
        <v>10</v>
      </c>
      <c r="C609" s="49">
        <v>10</v>
      </c>
      <c r="D609" s="5"/>
      <c r="E609" s="5"/>
      <c r="F609" s="29"/>
      <c r="G609" s="29"/>
      <c r="H609" s="29"/>
      <c r="I609" s="451"/>
    </row>
    <row r="610" spans="1:9" s="13" customFormat="1" ht="30" customHeight="1">
      <c r="A610" s="72" t="s">
        <v>11</v>
      </c>
      <c r="B610" s="49">
        <v>4.2</v>
      </c>
      <c r="C610" s="49">
        <v>4.2</v>
      </c>
      <c r="D610" s="5"/>
      <c r="E610" s="5"/>
      <c r="F610" s="50"/>
      <c r="G610" s="50"/>
      <c r="H610" s="50"/>
      <c r="I610" s="451"/>
    </row>
    <row r="611" spans="1:9" s="13" customFormat="1" ht="30" customHeight="1">
      <c r="A611" s="72" t="s">
        <v>19</v>
      </c>
      <c r="B611" s="49">
        <v>10</v>
      </c>
      <c r="C611" s="49">
        <v>10</v>
      </c>
      <c r="D611" s="5"/>
      <c r="E611" s="5"/>
      <c r="F611" s="50"/>
      <c r="G611" s="50"/>
      <c r="H611" s="50"/>
      <c r="I611" s="451"/>
    </row>
    <row r="612" spans="1:9" s="13" customFormat="1" ht="27.75" customHeight="1">
      <c r="A612" s="514" t="s">
        <v>298</v>
      </c>
      <c r="B612" s="514"/>
      <c r="C612" s="514"/>
      <c r="D612" s="53">
        <v>180</v>
      </c>
      <c r="E612" s="127">
        <v>4.86</v>
      </c>
      <c r="F612" s="127">
        <v>6.57</v>
      </c>
      <c r="G612" s="127">
        <v>39.87</v>
      </c>
      <c r="H612" s="35">
        <v>238.05</v>
      </c>
      <c r="I612" s="444" t="s">
        <v>299</v>
      </c>
    </row>
    <row r="613" spans="1:9" s="13" customFormat="1" ht="27.75" customHeight="1">
      <c r="A613" s="74" t="s">
        <v>188</v>
      </c>
      <c r="B613" s="30">
        <v>65</v>
      </c>
      <c r="C613" s="30">
        <v>65</v>
      </c>
      <c r="D613" s="379"/>
      <c r="E613" s="380"/>
      <c r="F613" s="380"/>
      <c r="G613" s="380"/>
      <c r="H613" s="380"/>
      <c r="I613" s="466"/>
    </row>
    <row r="614" spans="1:9" s="13" customFormat="1" ht="27.75" customHeight="1">
      <c r="A614" s="196" t="s">
        <v>19</v>
      </c>
      <c r="B614" s="181">
        <v>6</v>
      </c>
      <c r="C614" s="181">
        <v>6</v>
      </c>
      <c r="D614" s="201"/>
      <c r="E614" s="149"/>
      <c r="F614" s="149"/>
      <c r="G614" s="149"/>
      <c r="H614" s="149"/>
      <c r="I614" s="452"/>
    </row>
    <row r="615" spans="1:12" s="13" customFormat="1" ht="27.75" customHeight="1">
      <c r="A615" s="516" t="s">
        <v>498</v>
      </c>
      <c r="B615" s="516"/>
      <c r="C615" s="516"/>
      <c r="D615" s="61">
        <v>60</v>
      </c>
      <c r="E615" s="63">
        <v>0.6</v>
      </c>
      <c r="F615" s="63">
        <v>0.2</v>
      </c>
      <c r="G615" s="63">
        <v>2.4</v>
      </c>
      <c r="H615" s="186">
        <f>E615*4+F615*9+G615*4</f>
        <v>13.8</v>
      </c>
      <c r="I615" s="304" t="s">
        <v>278</v>
      </c>
      <c r="K615" s="88"/>
      <c r="L615" s="88"/>
    </row>
    <row r="616" spans="1:13" s="88" customFormat="1" ht="27.75" customHeight="1">
      <c r="A616" s="130" t="s">
        <v>124</v>
      </c>
      <c r="B616" s="51">
        <f>C616*1.02</f>
        <v>61.2</v>
      </c>
      <c r="C616" s="83">
        <v>60</v>
      </c>
      <c r="D616" s="82"/>
      <c r="E616" s="114"/>
      <c r="F616" s="114"/>
      <c r="G616" s="114"/>
      <c r="H616" s="114"/>
      <c r="I616" s="496"/>
      <c r="M616" s="142"/>
    </row>
    <row r="617" spans="1:9" s="88" customFormat="1" ht="27.75" customHeight="1">
      <c r="A617" s="75" t="s">
        <v>125</v>
      </c>
      <c r="B617" s="51">
        <f>C617*1.18</f>
        <v>70.8</v>
      </c>
      <c r="C617" s="83">
        <v>60</v>
      </c>
      <c r="D617" s="82"/>
      <c r="E617" s="114"/>
      <c r="F617" s="114"/>
      <c r="G617" s="114"/>
      <c r="H617" s="114"/>
      <c r="I617" s="456"/>
    </row>
    <row r="618" spans="1:12" s="13" customFormat="1" ht="27.75" customHeight="1">
      <c r="A618" s="75" t="s">
        <v>138</v>
      </c>
      <c r="B618" s="51">
        <f>C618*1.82</f>
        <v>109.2</v>
      </c>
      <c r="C618" s="83">
        <v>60</v>
      </c>
      <c r="D618" s="82"/>
      <c r="E618" s="114"/>
      <c r="F618" s="114"/>
      <c r="G618" s="114"/>
      <c r="H618" s="114"/>
      <c r="I618" s="456"/>
      <c r="K618" s="88"/>
      <c r="L618" s="88"/>
    </row>
    <row r="619" spans="1:12" s="13" customFormat="1" ht="27.75" customHeight="1">
      <c r="A619" s="504" t="s">
        <v>286</v>
      </c>
      <c r="B619" s="504"/>
      <c r="C619" s="504"/>
      <c r="D619" s="62">
        <v>200</v>
      </c>
      <c r="E619" s="63">
        <v>0.2</v>
      </c>
      <c r="F619" s="63">
        <v>0</v>
      </c>
      <c r="G619" s="63">
        <v>11.9</v>
      </c>
      <c r="H619" s="62">
        <v>53</v>
      </c>
      <c r="I619" s="444" t="s">
        <v>285</v>
      </c>
      <c r="K619" s="88"/>
      <c r="L619" s="88"/>
    </row>
    <row r="620" spans="1:9" s="13" customFormat="1" ht="27.75" customHeight="1">
      <c r="A620" s="75" t="s">
        <v>26</v>
      </c>
      <c r="B620" s="50">
        <v>2</v>
      </c>
      <c r="C620" s="50">
        <v>2</v>
      </c>
      <c r="D620" s="377"/>
      <c r="E620" s="231"/>
      <c r="F620" s="231"/>
      <c r="G620" s="231"/>
      <c r="H620" s="232"/>
      <c r="I620" s="444"/>
    </row>
    <row r="621" spans="1:9" s="13" customFormat="1" ht="27.75" customHeight="1">
      <c r="A621" s="75" t="s">
        <v>4</v>
      </c>
      <c r="B621" s="40">
        <v>12</v>
      </c>
      <c r="C621" s="40">
        <v>12</v>
      </c>
      <c r="D621" s="41"/>
      <c r="E621" s="231"/>
      <c r="F621" s="231"/>
      <c r="G621" s="231"/>
      <c r="H621" s="232"/>
      <c r="I621" s="443"/>
    </row>
    <row r="622" spans="1:9" s="142" customFormat="1" ht="27.75" customHeight="1">
      <c r="A622" s="495" t="s">
        <v>27</v>
      </c>
      <c r="B622" s="122">
        <v>20</v>
      </c>
      <c r="C622" s="122">
        <v>20</v>
      </c>
      <c r="D622" s="29">
        <v>20</v>
      </c>
      <c r="E622" s="31">
        <v>0.7</v>
      </c>
      <c r="F622" s="31">
        <v>0.2</v>
      </c>
      <c r="G622" s="31">
        <v>9.4</v>
      </c>
      <c r="H622" s="35">
        <v>41.3</v>
      </c>
      <c r="I622" s="444"/>
    </row>
    <row r="623" spans="1:9" s="13" customFormat="1" ht="27.75" customHeight="1">
      <c r="A623" s="494" t="s">
        <v>20</v>
      </c>
      <c r="B623" s="181">
        <v>20</v>
      </c>
      <c r="C623" s="181">
        <v>20</v>
      </c>
      <c r="D623" s="114">
        <v>20</v>
      </c>
      <c r="E623" s="121">
        <v>0.9</v>
      </c>
      <c r="F623" s="121">
        <v>0.2</v>
      </c>
      <c r="G623" s="121">
        <v>8.7</v>
      </c>
      <c r="H623" s="157">
        <v>40.5</v>
      </c>
      <c r="I623" s="444"/>
    </row>
    <row r="624" spans="1:9" s="142" customFormat="1" ht="27.75" customHeight="1">
      <c r="A624" s="504" t="s">
        <v>100</v>
      </c>
      <c r="B624" s="504"/>
      <c r="C624" s="504"/>
      <c r="D624" s="61">
        <v>20</v>
      </c>
      <c r="E624" s="63"/>
      <c r="F624" s="63"/>
      <c r="G624" s="63"/>
      <c r="H624" s="63"/>
      <c r="I624" s="444"/>
    </row>
    <row r="625" spans="1:13" s="88" customFormat="1" ht="27.75" customHeight="1">
      <c r="A625" s="507" t="s">
        <v>77</v>
      </c>
      <c r="B625" s="507"/>
      <c r="C625" s="507"/>
      <c r="D625" s="184">
        <f>D626+280+170+D661+D670</f>
        <v>930</v>
      </c>
      <c r="E625" s="133">
        <f>E626+E636+E650+E661+E670+E673+E675</f>
        <v>32.74</v>
      </c>
      <c r="F625" s="133">
        <f>F626+F636+F650+F661+F670+F673+F675</f>
        <v>26.220000000000002</v>
      </c>
      <c r="G625" s="133">
        <f>G626+G636+G650+G661+G670+G673+G675</f>
        <v>133.32</v>
      </c>
      <c r="H625" s="133">
        <f>H626+H636+H650+H661+H670+H673+H675</f>
        <v>897.8199999999999</v>
      </c>
      <c r="I625" s="451"/>
      <c r="K625" s="13"/>
      <c r="L625" s="13"/>
      <c r="M625" s="13"/>
    </row>
    <row r="626" spans="1:13" s="88" customFormat="1" ht="27.75" customHeight="1">
      <c r="A626" s="224" t="s">
        <v>374</v>
      </c>
      <c r="B626" s="224"/>
      <c r="C626" s="224"/>
      <c r="D626" s="29">
        <v>100</v>
      </c>
      <c r="E626" s="63">
        <v>0.3</v>
      </c>
      <c r="F626" s="63">
        <v>5</v>
      </c>
      <c r="G626" s="63">
        <v>2.8</v>
      </c>
      <c r="H626" s="62">
        <f>E626*4+F626*9+G626*4</f>
        <v>57.400000000000006</v>
      </c>
      <c r="I626" s="444" t="s">
        <v>375</v>
      </c>
      <c r="K626" s="13"/>
      <c r="L626" s="13"/>
      <c r="M626" s="13"/>
    </row>
    <row r="627" spans="1:13" s="88" customFormat="1" ht="27.75" customHeight="1">
      <c r="A627" s="72" t="s">
        <v>153</v>
      </c>
      <c r="B627" s="51">
        <f>C627*1.82</f>
        <v>147.42000000000002</v>
      </c>
      <c r="C627" s="49">
        <v>81</v>
      </c>
      <c r="D627" s="223"/>
      <c r="E627" s="223"/>
      <c r="F627" s="56"/>
      <c r="G627" s="56"/>
      <c r="H627" s="56"/>
      <c r="I627" s="478"/>
      <c r="M627" s="13"/>
    </row>
    <row r="628" spans="1:12" s="13" customFormat="1" ht="27.75" customHeight="1">
      <c r="A628" s="75" t="s">
        <v>135</v>
      </c>
      <c r="B628" s="51">
        <f>C628*1.19</f>
        <v>17.849999999999998</v>
      </c>
      <c r="C628" s="49">
        <v>15</v>
      </c>
      <c r="D628" s="5"/>
      <c r="E628" s="144"/>
      <c r="F628" s="144"/>
      <c r="G628" s="144"/>
      <c r="H628" s="185"/>
      <c r="I628" s="443"/>
      <c r="K628" s="88"/>
      <c r="L628" s="88"/>
    </row>
    <row r="629" spans="1:13" s="88" customFormat="1" ht="27.75" customHeight="1">
      <c r="A629" s="549" t="s">
        <v>491</v>
      </c>
      <c r="B629" s="550"/>
      <c r="C629" s="551"/>
      <c r="D629" s="29"/>
      <c r="E629" s="121"/>
      <c r="F629" s="121"/>
      <c r="G629" s="63"/>
      <c r="H629" s="63"/>
      <c r="I629" s="302"/>
      <c r="K629" s="13"/>
      <c r="L629" s="13"/>
      <c r="M629" s="13"/>
    </row>
    <row r="630" spans="1:13" s="88" customFormat="1" ht="27.75" customHeight="1">
      <c r="A630" s="75" t="s">
        <v>11</v>
      </c>
      <c r="B630" s="50">
        <v>5</v>
      </c>
      <c r="C630" s="50">
        <v>5</v>
      </c>
      <c r="D630" s="5"/>
      <c r="E630" s="144"/>
      <c r="F630" s="144"/>
      <c r="G630" s="144"/>
      <c r="H630" s="185"/>
      <c r="I630" s="443"/>
      <c r="K630" s="13"/>
      <c r="L630" s="13"/>
      <c r="M630" s="13"/>
    </row>
    <row r="631" spans="1:13" s="88" customFormat="1" ht="27.75" customHeight="1">
      <c r="A631" s="508" t="s">
        <v>95</v>
      </c>
      <c r="B631" s="508"/>
      <c r="C631" s="508"/>
      <c r="D631" s="508"/>
      <c r="E631" s="508"/>
      <c r="F631" s="508"/>
      <c r="G631" s="508"/>
      <c r="H631" s="508"/>
      <c r="I631" s="508"/>
      <c r="M631" s="13"/>
    </row>
    <row r="632" spans="1:13" s="88" customFormat="1" ht="27.75" customHeight="1">
      <c r="A632" s="516" t="s">
        <v>454</v>
      </c>
      <c r="B632" s="516"/>
      <c r="C632" s="516"/>
      <c r="D632" s="61">
        <v>100</v>
      </c>
      <c r="E632" s="63">
        <v>0.8</v>
      </c>
      <c r="F632" s="63">
        <v>5</v>
      </c>
      <c r="G632" s="63">
        <v>2.5</v>
      </c>
      <c r="H632" s="62">
        <f>G632*4+F632*9+E632*4</f>
        <v>58.2</v>
      </c>
      <c r="I632" s="304" t="s">
        <v>455</v>
      </c>
      <c r="M632" s="13"/>
    </row>
    <row r="633" spans="1:9" s="13" customFormat="1" ht="27.75" customHeight="1">
      <c r="A633" s="130" t="s">
        <v>456</v>
      </c>
      <c r="B633" s="185">
        <f>C633*1.05</f>
        <v>99.75</v>
      </c>
      <c r="C633" s="122">
        <v>95</v>
      </c>
      <c r="D633" s="122"/>
      <c r="E633" s="122"/>
      <c r="F633" s="144"/>
      <c r="G633" s="122"/>
      <c r="H633" s="122"/>
      <c r="I633" s="479"/>
    </row>
    <row r="634" spans="1:14" s="88" customFormat="1" ht="27.75" customHeight="1">
      <c r="A634" s="130" t="s">
        <v>321</v>
      </c>
      <c r="B634" s="185">
        <f>C634*1.02</f>
        <v>96.9</v>
      </c>
      <c r="C634" s="185">
        <v>95</v>
      </c>
      <c r="D634" s="289"/>
      <c r="E634" s="289"/>
      <c r="F634" s="289"/>
      <c r="G634" s="289"/>
      <c r="H634" s="289"/>
      <c r="I634" s="479"/>
      <c r="J634" s="13"/>
      <c r="M634" s="13"/>
      <c r="N634" s="13"/>
    </row>
    <row r="635" spans="1:14" s="88" customFormat="1" ht="27.75" customHeight="1">
      <c r="A635" s="130" t="s">
        <v>442</v>
      </c>
      <c r="B635" s="122">
        <v>5</v>
      </c>
      <c r="C635" s="122">
        <v>5</v>
      </c>
      <c r="D635" s="122"/>
      <c r="E635" s="144"/>
      <c r="F635" s="144"/>
      <c r="G635" s="144"/>
      <c r="H635" s="122"/>
      <c r="I635" s="479"/>
      <c r="J635" s="13"/>
      <c r="M635" s="13"/>
      <c r="N635" s="13"/>
    </row>
    <row r="636" spans="1:14" s="13" customFormat="1" ht="27.75" customHeight="1">
      <c r="A636" s="547" t="s">
        <v>376</v>
      </c>
      <c r="B636" s="547"/>
      <c r="C636" s="545" t="s">
        <v>90</v>
      </c>
      <c r="D636" s="545"/>
      <c r="E636" s="63">
        <v>9.1</v>
      </c>
      <c r="F636" s="63">
        <v>4.8</v>
      </c>
      <c r="G636" s="63">
        <v>30.2</v>
      </c>
      <c r="H636" s="62">
        <f>G636*4+F636*9+E636*4</f>
        <v>200.4</v>
      </c>
      <c r="I636" s="444" t="s">
        <v>377</v>
      </c>
      <c r="J636" s="2"/>
      <c r="M636" s="2"/>
      <c r="N636" s="2"/>
    </row>
    <row r="637" spans="1:14" s="88" customFormat="1" ht="27.75" customHeight="1">
      <c r="A637" s="73" t="s">
        <v>111</v>
      </c>
      <c r="B637" s="38">
        <f>C637*1.36</f>
        <v>21.76</v>
      </c>
      <c r="C637" s="5">
        <v>16</v>
      </c>
      <c r="D637" s="42"/>
      <c r="E637" s="123"/>
      <c r="F637" s="123"/>
      <c r="G637" s="123"/>
      <c r="H637" s="162"/>
      <c r="I637" s="451"/>
      <c r="J637" s="1"/>
      <c r="M637" s="1"/>
      <c r="N637" s="1"/>
    </row>
    <row r="638" spans="1:9" s="13" customFormat="1" ht="27.75" customHeight="1">
      <c r="A638" s="73" t="s">
        <v>112</v>
      </c>
      <c r="B638" s="38">
        <f>C638*1.18</f>
        <v>18.88</v>
      </c>
      <c r="C638" s="5">
        <f>C637</f>
        <v>16</v>
      </c>
      <c r="D638" s="42"/>
      <c r="E638" s="43"/>
      <c r="F638" s="43"/>
      <c r="G638" s="43"/>
      <c r="H638" s="160"/>
      <c r="I638" s="449"/>
    </row>
    <row r="639" spans="1:14" s="13" customFormat="1" ht="27.75" customHeight="1">
      <c r="A639" s="72" t="s">
        <v>12</v>
      </c>
      <c r="B639" s="49">
        <f>C639*1.33</f>
        <v>82.46000000000001</v>
      </c>
      <c r="C639" s="49">
        <v>62</v>
      </c>
      <c r="D639" s="42"/>
      <c r="E639" s="123"/>
      <c r="F639" s="123"/>
      <c r="G639" s="123"/>
      <c r="H639" s="162"/>
      <c r="I639" s="451"/>
      <c r="J639" s="1"/>
      <c r="M639" s="1"/>
      <c r="N639" s="1"/>
    </row>
    <row r="640" spans="1:14" s="88" customFormat="1" ht="27.75" customHeight="1">
      <c r="A640" s="72" t="s">
        <v>13</v>
      </c>
      <c r="B640" s="49">
        <f>C640*1.43</f>
        <v>88.66</v>
      </c>
      <c r="C640" s="49">
        <v>62</v>
      </c>
      <c r="D640" s="42"/>
      <c r="E640" s="123"/>
      <c r="F640" s="123"/>
      <c r="G640" s="123"/>
      <c r="H640" s="162"/>
      <c r="I640" s="451"/>
      <c r="J640" s="13"/>
      <c r="M640" s="13"/>
      <c r="N640" s="13"/>
    </row>
    <row r="641" spans="1:14" s="88" customFormat="1" ht="27.75" customHeight="1">
      <c r="A641" s="75" t="s">
        <v>14</v>
      </c>
      <c r="B641" s="49">
        <f>C641*1.54</f>
        <v>95.48</v>
      </c>
      <c r="C641" s="49">
        <v>62</v>
      </c>
      <c r="D641" s="42"/>
      <c r="E641" s="123"/>
      <c r="F641" s="123"/>
      <c r="G641" s="123"/>
      <c r="H641" s="162"/>
      <c r="I641" s="451"/>
      <c r="J641" s="13"/>
      <c r="M641" s="13"/>
      <c r="N641" s="13"/>
    </row>
    <row r="642" spans="1:14" s="88" customFormat="1" ht="27.75" customHeight="1">
      <c r="A642" s="75" t="s">
        <v>15</v>
      </c>
      <c r="B642" s="49">
        <f>C642*1.67</f>
        <v>103.53999999999999</v>
      </c>
      <c r="C642" s="49">
        <v>62</v>
      </c>
      <c r="D642" s="42"/>
      <c r="E642" s="123"/>
      <c r="F642" s="123"/>
      <c r="G642" s="123"/>
      <c r="H642" s="162"/>
      <c r="I642" s="451"/>
      <c r="J642" s="13"/>
      <c r="M642" s="13"/>
      <c r="N642" s="13"/>
    </row>
    <row r="643" spans="1:14" s="88" customFormat="1" ht="27.75" customHeight="1">
      <c r="A643" s="72" t="s">
        <v>79</v>
      </c>
      <c r="B643" s="5">
        <v>17.2</v>
      </c>
      <c r="C643" s="49">
        <v>16.666666666666668</v>
      </c>
      <c r="D643" s="42"/>
      <c r="E643" s="123"/>
      <c r="F643" s="123"/>
      <c r="G643" s="123"/>
      <c r="H643" s="162"/>
      <c r="I643" s="451"/>
      <c r="J643" s="13"/>
      <c r="M643" s="13"/>
      <c r="N643" s="13"/>
    </row>
    <row r="644" spans="1:14" s="88" customFormat="1" ht="27.75" customHeight="1">
      <c r="A644" s="72" t="s">
        <v>18</v>
      </c>
      <c r="B644" s="55">
        <f>C644*1.19</f>
        <v>15.469999999999999</v>
      </c>
      <c r="C644" s="49">
        <v>13</v>
      </c>
      <c r="D644" s="42"/>
      <c r="E644" s="123"/>
      <c r="F644" s="123"/>
      <c r="G644" s="123"/>
      <c r="H644" s="162"/>
      <c r="I644" s="451"/>
      <c r="J644" s="13"/>
      <c r="M644" s="13"/>
      <c r="N644" s="13"/>
    </row>
    <row r="645" spans="1:14" s="88" customFormat="1" ht="27.75" customHeight="1">
      <c r="A645" s="72" t="s">
        <v>81</v>
      </c>
      <c r="B645" s="54">
        <f>C645*1.25</f>
        <v>12.5</v>
      </c>
      <c r="C645" s="49">
        <v>10</v>
      </c>
      <c r="D645" s="42"/>
      <c r="E645" s="123"/>
      <c r="F645" s="123"/>
      <c r="G645" s="123"/>
      <c r="H645" s="162"/>
      <c r="I645" s="451"/>
      <c r="J645" s="13"/>
      <c r="M645" s="13"/>
      <c r="N645" s="13"/>
    </row>
    <row r="646" spans="1:14" s="13" customFormat="1" ht="27.75" customHeight="1">
      <c r="A646" s="72" t="s">
        <v>16</v>
      </c>
      <c r="B646" s="55">
        <f>C646*1.33</f>
        <v>13.3</v>
      </c>
      <c r="C646" s="49">
        <v>10</v>
      </c>
      <c r="D646" s="42"/>
      <c r="E646" s="123"/>
      <c r="F646" s="123"/>
      <c r="G646" s="123"/>
      <c r="H646" s="162"/>
      <c r="I646" s="451"/>
      <c r="J646" s="1"/>
      <c r="M646" s="1"/>
      <c r="N646" s="1"/>
    </row>
    <row r="647" spans="1:9" s="13" customFormat="1" ht="27.75" customHeight="1">
      <c r="A647" s="124" t="s">
        <v>19</v>
      </c>
      <c r="B647" s="185">
        <v>5</v>
      </c>
      <c r="C647" s="185">
        <v>5</v>
      </c>
      <c r="D647" s="167"/>
      <c r="E647" s="123"/>
      <c r="F647" s="123"/>
      <c r="G647" s="123"/>
      <c r="H647" s="162"/>
      <c r="I647" s="451"/>
    </row>
    <row r="648" spans="1:9" s="13" customFormat="1" ht="27.75" customHeight="1">
      <c r="A648" s="75" t="s">
        <v>10</v>
      </c>
      <c r="B648" s="49">
        <v>37</v>
      </c>
      <c r="C648" s="49">
        <v>31</v>
      </c>
      <c r="D648" s="42"/>
      <c r="E648" s="123"/>
      <c r="F648" s="123"/>
      <c r="G648" s="123"/>
      <c r="H648" s="162"/>
      <c r="I648" s="451"/>
    </row>
    <row r="649" spans="1:9" s="13" customFormat="1" ht="27.75" customHeight="1">
      <c r="A649" s="75" t="s">
        <v>97</v>
      </c>
      <c r="B649" s="54">
        <v>0.2</v>
      </c>
      <c r="C649" s="54">
        <v>0.2</v>
      </c>
      <c r="D649" s="42"/>
      <c r="E649" s="43"/>
      <c r="F649" s="43"/>
      <c r="G649" s="43"/>
      <c r="H649" s="160"/>
      <c r="I649" s="449"/>
    </row>
    <row r="650" spans="1:14" s="13" customFormat="1" ht="27.75" customHeight="1">
      <c r="A650" s="548" t="s">
        <v>378</v>
      </c>
      <c r="B650" s="548"/>
      <c r="C650" s="548"/>
      <c r="D650" s="109" t="s">
        <v>150</v>
      </c>
      <c r="E650" s="108">
        <v>17.2</v>
      </c>
      <c r="F650" s="108">
        <v>9.4</v>
      </c>
      <c r="G650" s="108">
        <v>5.7</v>
      </c>
      <c r="H650" s="62">
        <f>G650*4+F650*9+E650*4</f>
        <v>176.2</v>
      </c>
      <c r="I650" s="304" t="s">
        <v>379</v>
      </c>
      <c r="J650" s="88"/>
      <c r="N650" s="88"/>
    </row>
    <row r="651" spans="1:9" s="88" customFormat="1" ht="27.75" customHeight="1">
      <c r="A651" s="78" t="s">
        <v>108</v>
      </c>
      <c r="B651" s="241">
        <f>C651*1.35</f>
        <v>199.8</v>
      </c>
      <c r="C651" s="68">
        <v>148</v>
      </c>
      <c r="D651" s="71"/>
      <c r="E651" s="150"/>
      <c r="F651" s="150"/>
      <c r="G651" s="150"/>
      <c r="H651" s="128"/>
      <c r="I651" s="454"/>
    </row>
    <row r="652" spans="1:9" s="88" customFormat="1" ht="27.75" customHeight="1">
      <c r="A652" s="78" t="s">
        <v>178</v>
      </c>
      <c r="B652" s="69">
        <f>C652*1.43</f>
        <v>205.92</v>
      </c>
      <c r="C652" s="51">
        <v>144</v>
      </c>
      <c r="D652" s="26"/>
      <c r="E652" s="63"/>
      <c r="F652" s="63"/>
      <c r="G652" s="63"/>
      <c r="H652" s="62"/>
      <c r="I652" s="444"/>
    </row>
    <row r="653" spans="1:9" s="13" customFormat="1" ht="27.75" customHeight="1">
      <c r="A653" s="164" t="s">
        <v>179</v>
      </c>
      <c r="B653" s="69">
        <f>C653*1.72</f>
        <v>247.68</v>
      </c>
      <c r="C653" s="51">
        <v>144</v>
      </c>
      <c r="D653" s="26"/>
      <c r="E653" s="63"/>
      <c r="F653" s="63"/>
      <c r="G653" s="63"/>
      <c r="H653" s="62"/>
      <c r="I653" s="444"/>
    </row>
    <row r="654" spans="1:9" s="13" customFormat="1" ht="27.75" customHeight="1">
      <c r="A654" s="72" t="s">
        <v>81</v>
      </c>
      <c r="B654" s="49">
        <f>C654*1.25</f>
        <v>22.5</v>
      </c>
      <c r="C654" s="68">
        <v>18</v>
      </c>
      <c r="D654" s="71"/>
      <c r="E654" s="150"/>
      <c r="F654" s="150"/>
      <c r="G654" s="150"/>
      <c r="H654" s="128"/>
      <c r="I654" s="454"/>
    </row>
    <row r="655" spans="1:14" s="88" customFormat="1" ht="27.75" customHeight="1">
      <c r="A655" s="111" t="s">
        <v>16</v>
      </c>
      <c r="B655" s="51">
        <f>C655*1.33</f>
        <v>23.94</v>
      </c>
      <c r="C655" s="68">
        <v>18</v>
      </c>
      <c r="D655" s="71"/>
      <c r="E655" s="150"/>
      <c r="F655" s="150"/>
      <c r="G655" s="150"/>
      <c r="H655" s="128"/>
      <c r="I655" s="454"/>
      <c r="J655" s="13"/>
      <c r="N655" s="13"/>
    </row>
    <row r="656" spans="1:9" s="13" customFormat="1" ht="27.75" customHeight="1">
      <c r="A656" s="111" t="s">
        <v>18</v>
      </c>
      <c r="B656" s="55">
        <f>C656*1.19</f>
        <v>14.28</v>
      </c>
      <c r="C656" s="68">
        <v>12</v>
      </c>
      <c r="D656" s="71"/>
      <c r="E656" s="150"/>
      <c r="F656" s="150"/>
      <c r="G656" s="150"/>
      <c r="H656" s="128"/>
      <c r="I656" s="454"/>
    </row>
    <row r="657" spans="1:14" s="88" customFormat="1" ht="27.75" customHeight="1">
      <c r="A657" s="80" t="s">
        <v>72</v>
      </c>
      <c r="B657" s="68">
        <v>7.875</v>
      </c>
      <c r="C657" s="68">
        <v>7.875</v>
      </c>
      <c r="D657" s="71"/>
      <c r="E657" s="150"/>
      <c r="F657" s="150"/>
      <c r="G657" s="150"/>
      <c r="H657" s="128"/>
      <c r="I657" s="454"/>
      <c r="J657" s="13"/>
      <c r="N657" s="13"/>
    </row>
    <row r="658" spans="1:9" s="88" customFormat="1" ht="27.75" customHeight="1">
      <c r="A658" s="74" t="s">
        <v>84</v>
      </c>
      <c r="B658" s="68">
        <v>19</v>
      </c>
      <c r="C658" s="68">
        <v>19</v>
      </c>
      <c r="D658" s="71"/>
      <c r="E658" s="150"/>
      <c r="F658" s="150"/>
      <c r="G658" s="150"/>
      <c r="H658" s="128"/>
      <c r="I658" s="476"/>
    </row>
    <row r="659" spans="1:10" s="88" customFormat="1" ht="27.75" customHeight="1">
      <c r="A659" s="111" t="s">
        <v>11</v>
      </c>
      <c r="B659" s="68">
        <v>5</v>
      </c>
      <c r="C659" s="68">
        <v>5</v>
      </c>
      <c r="D659" s="71"/>
      <c r="E659" s="150"/>
      <c r="F659" s="150"/>
      <c r="G659" s="150"/>
      <c r="H659" s="128"/>
      <c r="I659" s="454"/>
      <c r="J659" s="142"/>
    </row>
    <row r="660" spans="1:10" s="13" customFormat="1" ht="27.75" customHeight="1">
      <c r="A660" s="75" t="s">
        <v>4</v>
      </c>
      <c r="B660" s="68">
        <v>1</v>
      </c>
      <c r="C660" s="68">
        <v>1</v>
      </c>
      <c r="D660" s="71"/>
      <c r="E660" s="150"/>
      <c r="F660" s="150"/>
      <c r="G660" s="150"/>
      <c r="H660" s="128"/>
      <c r="I660" s="454"/>
      <c r="J660" s="88"/>
    </row>
    <row r="661" spans="1:10" s="13" customFormat="1" ht="27.75" customHeight="1">
      <c r="A661" s="516" t="s">
        <v>380</v>
      </c>
      <c r="B661" s="516"/>
      <c r="C661" s="516"/>
      <c r="D661" s="53">
        <v>180</v>
      </c>
      <c r="E661" s="121">
        <v>1.44</v>
      </c>
      <c r="F661" s="121">
        <v>6.119999999999999</v>
      </c>
      <c r="G661" s="121">
        <v>25.92</v>
      </c>
      <c r="H661" s="62">
        <v>164.52</v>
      </c>
      <c r="I661" s="302" t="s">
        <v>381</v>
      </c>
      <c r="J661" s="88"/>
    </row>
    <row r="662" spans="1:10" s="88" customFormat="1" ht="27.75" customHeight="1">
      <c r="A662" s="124" t="s">
        <v>12</v>
      </c>
      <c r="B662" s="185">
        <f>C662*1.33</f>
        <v>226.10000000000002</v>
      </c>
      <c r="C662" s="185">
        <v>170</v>
      </c>
      <c r="D662" s="50"/>
      <c r="E662" s="144"/>
      <c r="F662" s="144"/>
      <c r="G662" s="144"/>
      <c r="H662" s="185"/>
      <c r="I662" s="443"/>
      <c r="J662" s="13"/>
    </row>
    <row r="663" spans="1:11" s="88" customFormat="1" ht="27.75" customHeight="1">
      <c r="A663" s="124" t="s">
        <v>13</v>
      </c>
      <c r="B663" s="185">
        <f>C663*1.43</f>
        <v>243.1</v>
      </c>
      <c r="C663" s="185">
        <v>170</v>
      </c>
      <c r="D663" s="50"/>
      <c r="E663" s="144"/>
      <c r="F663" s="144"/>
      <c r="G663" s="144"/>
      <c r="H663" s="185"/>
      <c r="I663" s="443"/>
      <c r="J663" s="13"/>
      <c r="K663" s="13"/>
    </row>
    <row r="664" spans="1:11" s="13" customFormat="1" ht="27.75" customHeight="1">
      <c r="A664" s="124" t="s">
        <v>14</v>
      </c>
      <c r="B664" s="185">
        <f>C664*1.54</f>
        <v>261.8</v>
      </c>
      <c r="C664" s="185">
        <v>170</v>
      </c>
      <c r="D664" s="50"/>
      <c r="E664" s="144"/>
      <c r="F664" s="63"/>
      <c r="G664" s="63"/>
      <c r="H664" s="62"/>
      <c r="I664" s="443"/>
      <c r="J664" s="142"/>
      <c r="K664" s="142"/>
    </row>
    <row r="665" spans="1:9" s="13" customFormat="1" ht="27.75" customHeight="1">
      <c r="A665" s="75" t="s">
        <v>15</v>
      </c>
      <c r="B665" s="185">
        <f>C665*1.67</f>
        <v>283.9</v>
      </c>
      <c r="C665" s="185">
        <v>170</v>
      </c>
      <c r="D665" s="50"/>
      <c r="E665" s="144"/>
      <c r="F665" s="63"/>
      <c r="G665" s="63"/>
      <c r="H665" s="62"/>
      <c r="I665" s="443"/>
    </row>
    <row r="666" spans="1:9" s="13" customFormat="1" ht="27.75" customHeight="1">
      <c r="A666" s="124" t="s">
        <v>182</v>
      </c>
      <c r="B666" s="185">
        <v>30</v>
      </c>
      <c r="C666" s="185">
        <v>30</v>
      </c>
      <c r="D666" s="122"/>
      <c r="E666" s="122"/>
      <c r="F666" s="122"/>
      <c r="G666" s="122"/>
      <c r="H666" s="122"/>
      <c r="I666" s="457"/>
    </row>
    <row r="667" spans="1:11" s="88" customFormat="1" ht="27.75" customHeight="1">
      <c r="A667" s="124" t="s">
        <v>18</v>
      </c>
      <c r="B667" s="185">
        <f>C667*1.19</f>
        <v>21.419999999999998</v>
      </c>
      <c r="C667" s="122">
        <v>18</v>
      </c>
      <c r="D667" s="122"/>
      <c r="E667" s="231"/>
      <c r="F667" s="231"/>
      <c r="G667" s="231"/>
      <c r="H667" s="231"/>
      <c r="I667" s="457"/>
      <c r="J667" s="142"/>
      <c r="K667" s="142"/>
    </row>
    <row r="668" spans="1:9" s="13" customFormat="1" ht="27.75" customHeight="1">
      <c r="A668" s="124" t="s">
        <v>19</v>
      </c>
      <c r="B668" s="185">
        <v>6</v>
      </c>
      <c r="C668" s="185">
        <v>6</v>
      </c>
      <c r="D668" s="122"/>
      <c r="E668" s="144"/>
      <c r="F668" s="144"/>
      <c r="G668" s="144"/>
      <c r="H668" s="185"/>
      <c r="I668" s="443"/>
    </row>
    <row r="669" spans="1:9" s="13" customFormat="1" ht="27.75" customHeight="1">
      <c r="A669" s="124" t="s">
        <v>140</v>
      </c>
      <c r="B669" s="122">
        <v>12</v>
      </c>
      <c r="C669" s="122">
        <v>10</v>
      </c>
      <c r="D669" s="122"/>
      <c r="E669" s="231"/>
      <c r="F669" s="259"/>
      <c r="G669" s="259"/>
      <c r="H669" s="231"/>
      <c r="I669" s="457"/>
    </row>
    <row r="670" spans="1:10" s="13" customFormat="1" ht="27.75" customHeight="1">
      <c r="A670" s="506" t="s">
        <v>382</v>
      </c>
      <c r="B670" s="506"/>
      <c r="C670" s="506"/>
      <c r="D670" s="109">
        <v>200</v>
      </c>
      <c r="E670" s="108">
        <v>0.1</v>
      </c>
      <c r="F670" s="108">
        <v>0</v>
      </c>
      <c r="G670" s="108">
        <v>19</v>
      </c>
      <c r="H670" s="62">
        <f>G670*4+F670*9+E670*4</f>
        <v>76.4</v>
      </c>
      <c r="I670" s="476" t="s">
        <v>383</v>
      </c>
      <c r="J670" s="88"/>
    </row>
    <row r="671" spans="1:11" s="13" customFormat="1" ht="27.75" customHeight="1">
      <c r="A671" s="111" t="s">
        <v>148</v>
      </c>
      <c r="B671" s="71">
        <v>26.4</v>
      </c>
      <c r="C671" s="71">
        <v>25</v>
      </c>
      <c r="D671" s="113"/>
      <c r="E671" s="152"/>
      <c r="F671" s="152"/>
      <c r="G671" s="152"/>
      <c r="H671" s="163"/>
      <c r="I671" s="454"/>
      <c r="K671" s="88"/>
    </row>
    <row r="672" spans="1:9" s="13" customFormat="1" ht="27.75" customHeight="1">
      <c r="A672" s="75" t="s">
        <v>4</v>
      </c>
      <c r="B672" s="71">
        <v>15</v>
      </c>
      <c r="C672" s="71">
        <v>15</v>
      </c>
      <c r="D672" s="113"/>
      <c r="E672" s="152"/>
      <c r="F672" s="152"/>
      <c r="G672" s="152"/>
      <c r="H672" s="163"/>
      <c r="I672" s="454"/>
    </row>
    <row r="673" spans="1:9" s="13" customFormat="1" ht="27.75" customHeight="1">
      <c r="A673" s="494" t="s">
        <v>20</v>
      </c>
      <c r="B673" s="181">
        <v>60</v>
      </c>
      <c r="C673" s="181">
        <v>60</v>
      </c>
      <c r="D673" s="114">
        <v>60</v>
      </c>
      <c r="E673" s="121">
        <v>2.8</v>
      </c>
      <c r="F673" s="121">
        <v>0.6</v>
      </c>
      <c r="G673" s="121">
        <v>26.2</v>
      </c>
      <c r="H673" s="157">
        <v>121.6</v>
      </c>
      <c r="I673" s="444"/>
    </row>
    <row r="674" spans="1:9" s="13" customFormat="1" ht="27.75" customHeight="1">
      <c r="A674" s="504" t="s">
        <v>100</v>
      </c>
      <c r="B674" s="504"/>
      <c r="C674" s="504"/>
      <c r="D674" s="114">
        <v>60</v>
      </c>
      <c r="E674" s="144"/>
      <c r="F674" s="144"/>
      <c r="G674" s="144"/>
      <c r="H674" s="144"/>
      <c r="I674" s="443"/>
    </row>
    <row r="675" spans="1:9" s="13" customFormat="1" ht="27.75" customHeight="1">
      <c r="A675" s="495" t="s">
        <v>27</v>
      </c>
      <c r="B675" s="122">
        <v>50</v>
      </c>
      <c r="C675" s="122">
        <v>50</v>
      </c>
      <c r="D675" s="61">
        <v>50</v>
      </c>
      <c r="E675" s="63">
        <v>1.8</v>
      </c>
      <c r="F675" s="63">
        <v>0.3</v>
      </c>
      <c r="G675" s="63">
        <v>23.5</v>
      </c>
      <c r="H675" s="62">
        <v>101.30000000000001</v>
      </c>
      <c r="I675" s="444"/>
    </row>
    <row r="676" spans="1:9" s="13" customFormat="1" ht="27.75" customHeight="1">
      <c r="A676" s="505" t="s">
        <v>24</v>
      </c>
      <c r="B676" s="505"/>
      <c r="C676" s="505"/>
      <c r="D676" s="505"/>
      <c r="E676" s="154">
        <f>+E625+E603</f>
        <v>54.6</v>
      </c>
      <c r="F676" s="154">
        <f>+F625+F603</f>
        <v>52.89</v>
      </c>
      <c r="G676" s="154">
        <f>+G625+G603</f>
        <v>201.79</v>
      </c>
      <c r="H676" s="154">
        <f>+H625+H603</f>
        <v>1498.57</v>
      </c>
      <c r="I676" s="455"/>
    </row>
    <row r="677" spans="1:13" s="13" customFormat="1" ht="27.75" customHeight="1">
      <c r="A677" s="537" t="s">
        <v>66</v>
      </c>
      <c r="B677" s="537"/>
      <c r="C677" s="537"/>
      <c r="D677" s="537"/>
      <c r="E677" s="537"/>
      <c r="F677" s="537"/>
      <c r="G677" s="537"/>
      <c r="H677" s="537"/>
      <c r="I677" s="537"/>
      <c r="J677" s="88"/>
      <c r="M677" s="88"/>
    </row>
    <row r="678" spans="1:12" s="13" customFormat="1" ht="27.75" customHeight="1">
      <c r="A678" s="515" t="s">
        <v>0</v>
      </c>
      <c r="B678" s="517" t="s">
        <v>6</v>
      </c>
      <c r="C678" s="517" t="s">
        <v>7</v>
      </c>
      <c r="D678" s="515" t="s">
        <v>5</v>
      </c>
      <c r="E678" s="515"/>
      <c r="F678" s="515"/>
      <c r="G678" s="515"/>
      <c r="H678" s="515"/>
      <c r="I678" s="515"/>
      <c r="K678" s="88"/>
      <c r="L678" s="1" t="s">
        <v>65</v>
      </c>
    </row>
    <row r="679" spans="1:15" s="13" customFormat="1" ht="27.75" customHeight="1">
      <c r="A679" s="515"/>
      <c r="B679" s="517"/>
      <c r="C679" s="517"/>
      <c r="D679" s="517" t="s">
        <v>8</v>
      </c>
      <c r="E679" s="519" t="s">
        <v>1</v>
      </c>
      <c r="F679" s="519" t="s">
        <v>2</v>
      </c>
      <c r="G679" s="519" t="s">
        <v>9</v>
      </c>
      <c r="H679" s="532" t="s">
        <v>3</v>
      </c>
      <c r="I679" s="513" t="s">
        <v>245</v>
      </c>
      <c r="J679" s="142"/>
      <c r="K679" s="142"/>
      <c r="L679" s="6" t="s">
        <v>27</v>
      </c>
      <c r="M679" s="13">
        <f>+D675+D622</f>
        <v>70</v>
      </c>
      <c r="O679" s="1" t="s">
        <v>64</v>
      </c>
    </row>
    <row r="680" spans="1:16" s="13" customFormat="1" ht="27.75" customHeight="1">
      <c r="A680" s="515"/>
      <c r="B680" s="517"/>
      <c r="C680" s="517"/>
      <c r="D680" s="517"/>
      <c r="E680" s="519"/>
      <c r="F680" s="519"/>
      <c r="G680" s="519"/>
      <c r="H680" s="532"/>
      <c r="I680" s="513"/>
      <c r="L680" s="7" t="s">
        <v>28</v>
      </c>
      <c r="M680" s="24">
        <f>+C648+D673+D623</f>
        <v>111</v>
      </c>
      <c r="O680" s="6" t="s">
        <v>27</v>
      </c>
      <c r="P680" s="13">
        <f>B550+D597</f>
        <v>70</v>
      </c>
    </row>
    <row r="681" spans="1:16" s="13" customFormat="1" ht="27.75" customHeight="1">
      <c r="A681" s="507" t="s">
        <v>132</v>
      </c>
      <c r="B681" s="507"/>
      <c r="C681" s="507"/>
      <c r="D681" s="184">
        <f>40+D685+D708+D719+D727</f>
        <v>645</v>
      </c>
      <c r="E681" s="133">
        <f>E682+E685+E708+E719+E728+E727</f>
        <v>27.1</v>
      </c>
      <c r="F681" s="133">
        <f>F682+F685+F708+F719+F728+F727</f>
        <v>26.4</v>
      </c>
      <c r="G681" s="133">
        <f>G682+G685+G708+G719+G728+G727</f>
        <v>81.30000000000001</v>
      </c>
      <c r="H681" s="133">
        <f>H682+H685+H708+H719+H728+H727</f>
        <v>670.3</v>
      </c>
      <c r="I681" s="451"/>
      <c r="L681" s="8" t="s">
        <v>29</v>
      </c>
      <c r="M681" s="24"/>
      <c r="O681" s="7" t="s">
        <v>28</v>
      </c>
      <c r="P681" s="13">
        <f>+D595+C545</f>
        <v>90</v>
      </c>
    </row>
    <row r="682" spans="1:16" s="13" customFormat="1" ht="27.75" customHeight="1">
      <c r="A682" s="504" t="s">
        <v>302</v>
      </c>
      <c r="B682" s="504"/>
      <c r="C682" s="504"/>
      <c r="D682" s="220" t="s">
        <v>198</v>
      </c>
      <c r="E682" s="63">
        <v>1.6</v>
      </c>
      <c r="F682" s="63">
        <v>7.4</v>
      </c>
      <c r="G682" s="63">
        <v>13.2</v>
      </c>
      <c r="H682" s="62">
        <f>G682*4+F682*9+E682*4</f>
        <v>125.80000000000001</v>
      </c>
      <c r="I682" s="444" t="s">
        <v>303</v>
      </c>
      <c r="L682" s="9" t="s">
        <v>53</v>
      </c>
      <c r="M682" s="24">
        <f>+C643</f>
        <v>16.666666666666668</v>
      </c>
      <c r="O682" s="8" t="s">
        <v>29</v>
      </c>
      <c r="P682" s="24">
        <f>C584</f>
        <v>4</v>
      </c>
    </row>
    <row r="683" spans="1:16" s="13" customFormat="1" ht="27.75" customHeight="1">
      <c r="A683" s="75" t="s">
        <v>164</v>
      </c>
      <c r="B683" s="50">
        <v>30</v>
      </c>
      <c r="C683" s="50">
        <v>30</v>
      </c>
      <c r="D683" s="50"/>
      <c r="E683" s="144"/>
      <c r="F683" s="144"/>
      <c r="G683" s="221"/>
      <c r="H683" s="222"/>
      <c r="I683" s="443"/>
      <c r="L683" s="9"/>
      <c r="M683" s="24">
        <f>C613</f>
        <v>65</v>
      </c>
      <c r="O683" s="9" t="s">
        <v>53</v>
      </c>
      <c r="P683" s="24">
        <f>C522+C589</f>
        <v>105</v>
      </c>
    </row>
    <row r="684" spans="1:16" s="13" customFormat="1" ht="30" customHeight="1">
      <c r="A684" s="75" t="s">
        <v>19</v>
      </c>
      <c r="B684" s="50">
        <v>10</v>
      </c>
      <c r="C684" s="50">
        <v>10</v>
      </c>
      <c r="D684" s="50"/>
      <c r="E684" s="144"/>
      <c r="F684" s="144"/>
      <c r="G684" s="144"/>
      <c r="H684" s="185"/>
      <c r="I684" s="443"/>
      <c r="L684" s="8" t="s">
        <v>30</v>
      </c>
      <c r="M684" s="24">
        <f>C662+C639</f>
        <v>232</v>
      </c>
      <c r="O684" s="9"/>
      <c r="P684" s="24"/>
    </row>
    <row r="685" spans="1:16" s="13" customFormat="1" ht="30" customHeight="1">
      <c r="A685" s="516" t="s">
        <v>457</v>
      </c>
      <c r="B685" s="516"/>
      <c r="C685" s="516"/>
      <c r="D685" s="61">
        <v>100</v>
      </c>
      <c r="E685" s="31">
        <v>16.8</v>
      </c>
      <c r="F685" s="31">
        <v>9.5</v>
      </c>
      <c r="G685" s="31">
        <v>14.2</v>
      </c>
      <c r="H685" s="62">
        <f>G685*4+F685*9+E685*4</f>
        <v>209.5</v>
      </c>
      <c r="I685" s="444" t="s">
        <v>458</v>
      </c>
      <c r="L685" s="7" t="s">
        <v>31</v>
      </c>
      <c r="M685" s="24">
        <f>+C644+C645++++C627+C628++C607+C616++C654+C656+C657+C667</f>
        <v>248.875</v>
      </c>
      <c r="O685" s="8" t="s">
        <v>30</v>
      </c>
      <c r="P685" s="24">
        <f>C567</f>
        <v>43.333333333333336</v>
      </c>
    </row>
    <row r="686" spans="1:16" s="13" customFormat="1" ht="30" customHeight="1">
      <c r="A686" s="164" t="s">
        <v>159</v>
      </c>
      <c r="B686" s="413">
        <f>C686*2.32</f>
        <v>180.95999999999998</v>
      </c>
      <c r="C686" s="422">
        <v>78</v>
      </c>
      <c r="D686" s="235"/>
      <c r="E686" s="144"/>
      <c r="F686" s="144"/>
      <c r="G686" s="144"/>
      <c r="H686" s="144"/>
      <c r="I686" s="445"/>
      <c r="L686" s="7" t="s">
        <v>32</v>
      </c>
      <c r="M686" s="24">
        <f>+B671</f>
        <v>26.4</v>
      </c>
      <c r="O686" s="7" t="s">
        <v>31</v>
      </c>
      <c r="P686" s="24">
        <f>C587+C566+C571+C573+C574++C554++C562+C556</f>
        <v>201.83333333333331</v>
      </c>
    </row>
    <row r="687" spans="1:16" s="13" customFormat="1" ht="30" customHeight="1">
      <c r="A687" s="164" t="s">
        <v>187</v>
      </c>
      <c r="B687" s="413">
        <f>C687*1.48</f>
        <v>115.44</v>
      </c>
      <c r="C687" s="422">
        <v>78</v>
      </c>
      <c r="D687" s="235"/>
      <c r="E687" s="227"/>
      <c r="F687" s="144"/>
      <c r="G687" s="144"/>
      <c r="H687" s="228"/>
      <c r="I687" s="461"/>
      <c r="L687" s="60" t="s">
        <v>33</v>
      </c>
      <c r="M687" s="142"/>
      <c r="O687" s="7" t="s">
        <v>32</v>
      </c>
      <c r="P687" s="13">
        <f>D551</f>
        <v>150</v>
      </c>
    </row>
    <row r="688" spans="1:16" s="13" customFormat="1" ht="30" customHeight="1">
      <c r="A688" s="164" t="s">
        <v>160</v>
      </c>
      <c r="B688" s="413">
        <f>C688*1.054</f>
        <v>82.212</v>
      </c>
      <c r="C688" s="422">
        <v>78</v>
      </c>
      <c r="D688" s="235"/>
      <c r="E688" s="144"/>
      <c r="F688" s="144"/>
      <c r="G688" s="144"/>
      <c r="H688" s="144"/>
      <c r="I688" s="445"/>
      <c r="L688" s="8" t="s">
        <v>34</v>
      </c>
      <c r="M688" s="145">
        <f>B660+B672+B621</f>
        <v>28</v>
      </c>
      <c r="O688" s="8" t="s">
        <v>33</v>
      </c>
      <c r="P688" s="13">
        <f>C593</f>
        <v>25</v>
      </c>
    </row>
    <row r="689" spans="1:16" s="13" customFormat="1" ht="30" customHeight="1">
      <c r="A689" s="130" t="s">
        <v>10</v>
      </c>
      <c r="B689" s="382">
        <v>18</v>
      </c>
      <c r="C689" s="422">
        <v>18</v>
      </c>
      <c r="D689" s="235"/>
      <c r="E689" s="144"/>
      <c r="F689" s="144"/>
      <c r="G689" s="144"/>
      <c r="H689" s="144"/>
      <c r="I689" s="445"/>
      <c r="L689" s="8" t="s">
        <v>35</v>
      </c>
      <c r="O689" s="8" t="s">
        <v>34</v>
      </c>
      <c r="P689" s="145">
        <f>+C576+C594++B523+B548</f>
        <v>19.6</v>
      </c>
    </row>
    <row r="690" spans="1:16" s="13" customFormat="1" ht="30" customHeight="1">
      <c r="A690" s="79" t="s">
        <v>70</v>
      </c>
      <c r="B690" s="275">
        <v>20</v>
      </c>
      <c r="C690" s="275">
        <v>20</v>
      </c>
      <c r="D690" s="50"/>
      <c r="E690" s="144"/>
      <c r="F690" s="144"/>
      <c r="G690" s="144"/>
      <c r="H690" s="185"/>
      <c r="I690" s="445"/>
      <c r="L690" s="8" t="s">
        <v>36</v>
      </c>
      <c r="O690" s="8" t="s">
        <v>35</v>
      </c>
      <c r="P690" s="88"/>
    </row>
    <row r="691" spans="1:16" s="13" customFormat="1" ht="30" customHeight="1">
      <c r="A691" s="272" t="s">
        <v>56</v>
      </c>
      <c r="B691" s="273">
        <f>B690*460/1000</f>
        <v>9.2</v>
      </c>
      <c r="C691" s="273">
        <f>C690*460/1000</f>
        <v>9.2</v>
      </c>
      <c r="D691" s="219"/>
      <c r="E691" s="63"/>
      <c r="F691" s="144"/>
      <c r="G691" s="63"/>
      <c r="H691" s="62"/>
      <c r="I691" s="445"/>
      <c r="L691" s="8" t="s">
        <v>82</v>
      </c>
      <c r="O691" s="8" t="s">
        <v>36</v>
      </c>
      <c r="P691" s="88"/>
    </row>
    <row r="692" spans="1:15" s="13" customFormat="1" ht="30" customHeight="1">
      <c r="A692" s="272" t="s">
        <v>57</v>
      </c>
      <c r="B692" s="423">
        <f>B690*120/1000</f>
        <v>2.4</v>
      </c>
      <c r="C692" s="423">
        <f>C690*120/1000</f>
        <v>2.4</v>
      </c>
      <c r="D692" s="219"/>
      <c r="E692" s="63"/>
      <c r="F692" s="144"/>
      <c r="G692" s="63"/>
      <c r="H692" s="62"/>
      <c r="I692" s="445"/>
      <c r="L692" s="8" t="s">
        <v>54</v>
      </c>
      <c r="O692" s="8" t="s">
        <v>82</v>
      </c>
    </row>
    <row r="693" spans="1:16" s="13" customFormat="1" ht="30" customHeight="1">
      <c r="A693" s="264" t="s">
        <v>185</v>
      </c>
      <c r="B693" s="274">
        <f>B690-B691</f>
        <v>10.8</v>
      </c>
      <c r="C693" s="274">
        <f>C690-C691</f>
        <v>10.8</v>
      </c>
      <c r="D693" s="266"/>
      <c r="E693" s="267"/>
      <c r="F693" s="144"/>
      <c r="G693" s="267"/>
      <c r="H693" s="268"/>
      <c r="I693" s="446"/>
      <c r="L693" s="25" t="s">
        <v>257</v>
      </c>
      <c r="M693" s="25"/>
      <c r="O693" s="8" t="s">
        <v>54</v>
      </c>
      <c r="P693" s="13">
        <f>C547</f>
        <v>5</v>
      </c>
    </row>
    <row r="694" spans="1:16" s="13" customFormat="1" ht="30" customHeight="1">
      <c r="A694" s="264" t="s">
        <v>186</v>
      </c>
      <c r="B694" s="274">
        <f>B690-B692</f>
        <v>17.6</v>
      </c>
      <c r="C694" s="274">
        <f>C690-C692</f>
        <v>17.6</v>
      </c>
      <c r="D694" s="266"/>
      <c r="E694" s="267"/>
      <c r="F694" s="144"/>
      <c r="G694" s="267"/>
      <c r="H694" s="268"/>
      <c r="I694" s="446"/>
      <c r="L694" s="7" t="s">
        <v>37</v>
      </c>
      <c r="M694" s="13">
        <f>B620</f>
        <v>2</v>
      </c>
      <c r="O694" s="142" t="s">
        <v>257</v>
      </c>
      <c r="P694" s="142"/>
    </row>
    <row r="695" spans="1:17" s="88" customFormat="1" ht="30" customHeight="1">
      <c r="A695" s="79" t="s">
        <v>109</v>
      </c>
      <c r="B695" s="223">
        <v>6</v>
      </c>
      <c r="C695" s="275">
        <v>6</v>
      </c>
      <c r="D695" s="185"/>
      <c r="E695" s="144"/>
      <c r="F695" s="144"/>
      <c r="G695" s="144"/>
      <c r="H695" s="185"/>
      <c r="I695" s="221"/>
      <c r="J695" s="13"/>
      <c r="L695" s="8" t="s">
        <v>38</v>
      </c>
      <c r="M695" s="89">
        <f>C637+C605</f>
        <v>118</v>
      </c>
      <c r="O695" s="60" t="s">
        <v>37</v>
      </c>
      <c r="P695" s="200"/>
      <c r="Q695" s="13"/>
    </row>
    <row r="696" spans="1:17" s="88" customFormat="1" ht="30" customHeight="1">
      <c r="A696" s="79" t="s">
        <v>22</v>
      </c>
      <c r="B696" s="275">
        <v>10</v>
      </c>
      <c r="C696" s="275">
        <v>10</v>
      </c>
      <c r="D696" s="185"/>
      <c r="E696" s="144"/>
      <c r="F696" s="144"/>
      <c r="G696" s="144"/>
      <c r="H696" s="185"/>
      <c r="I696" s="221"/>
      <c r="J696" s="13"/>
      <c r="L696" s="7" t="s">
        <v>39</v>
      </c>
      <c r="M696" s="24"/>
      <c r="O696" s="7" t="s">
        <v>38</v>
      </c>
      <c r="P696" s="24">
        <f>C580+C560</f>
        <v>96</v>
      </c>
      <c r="Q696" s="13"/>
    </row>
    <row r="697" spans="1:16" s="13" customFormat="1" ht="30" customHeight="1">
      <c r="A697" s="79" t="s">
        <v>196</v>
      </c>
      <c r="B697" s="275">
        <v>2</v>
      </c>
      <c r="C697" s="275">
        <v>2</v>
      </c>
      <c r="D697" s="185"/>
      <c r="E697" s="144"/>
      <c r="F697" s="144"/>
      <c r="G697" s="144"/>
      <c r="H697" s="185"/>
      <c r="I697" s="221"/>
      <c r="L697" s="7" t="s">
        <v>40</v>
      </c>
      <c r="M697" s="24"/>
      <c r="O697" s="8" t="s">
        <v>39</v>
      </c>
      <c r="P697" s="88"/>
    </row>
    <row r="698" spans="1:16" s="13" customFormat="1" ht="30" customHeight="1">
      <c r="A698" s="508" t="s">
        <v>95</v>
      </c>
      <c r="B698" s="508"/>
      <c r="C698" s="508"/>
      <c r="D698" s="508"/>
      <c r="E698" s="508"/>
      <c r="F698" s="508"/>
      <c r="G698" s="508"/>
      <c r="H698" s="508"/>
      <c r="I698" s="508"/>
      <c r="L698" s="7" t="s">
        <v>41</v>
      </c>
      <c r="M698" s="24">
        <f>C651</f>
        <v>148</v>
      </c>
      <c r="O698" s="8" t="s">
        <v>40</v>
      </c>
      <c r="P698" s="88"/>
    </row>
    <row r="699" spans="1:15" s="13" customFormat="1" ht="30" customHeight="1">
      <c r="A699" s="509" t="s">
        <v>385</v>
      </c>
      <c r="B699" s="509"/>
      <c r="C699" s="509"/>
      <c r="D699" s="29">
        <v>100</v>
      </c>
      <c r="E699" s="63">
        <v>15.7</v>
      </c>
      <c r="F699" s="63">
        <v>12.4</v>
      </c>
      <c r="G699" s="63">
        <v>3.5</v>
      </c>
      <c r="H699" s="157">
        <f>G699*4+F699*9+E699*4</f>
        <v>188.4</v>
      </c>
      <c r="I699" s="444" t="s">
        <v>384</v>
      </c>
      <c r="L699" s="8" t="s">
        <v>42</v>
      </c>
      <c r="M699" s="24">
        <f>+C608</f>
        <v>18</v>
      </c>
      <c r="O699" s="60" t="s">
        <v>41</v>
      </c>
    </row>
    <row r="700" spans="1:16" s="13" customFormat="1" ht="30" customHeight="1">
      <c r="A700" s="73" t="s">
        <v>111</v>
      </c>
      <c r="B700" s="38">
        <f>C700*1.36</f>
        <v>114.24000000000001</v>
      </c>
      <c r="C700" s="49">
        <v>84</v>
      </c>
      <c r="D700" s="50"/>
      <c r="E700" s="144"/>
      <c r="F700" s="144"/>
      <c r="G700" s="144"/>
      <c r="H700" s="144"/>
      <c r="I700" s="443"/>
      <c r="L700" s="8" t="s">
        <v>106</v>
      </c>
      <c r="O700" s="8" t="s">
        <v>42</v>
      </c>
      <c r="P700" s="24">
        <f>C549+C524</f>
        <v>206</v>
      </c>
    </row>
    <row r="701" spans="1:17" s="88" customFormat="1" ht="30" customHeight="1">
      <c r="A701" s="73" t="s">
        <v>112</v>
      </c>
      <c r="B701" s="38">
        <f>C701*1.18</f>
        <v>99.11999999999999</v>
      </c>
      <c r="C701" s="49">
        <v>84</v>
      </c>
      <c r="D701" s="50"/>
      <c r="E701" s="144"/>
      <c r="F701" s="144"/>
      <c r="G701" s="144"/>
      <c r="H701" s="185"/>
      <c r="I701" s="443"/>
      <c r="J701" s="13"/>
      <c r="L701" s="8" t="s">
        <v>43</v>
      </c>
      <c r="N701" s="13"/>
      <c r="O701" s="8" t="s">
        <v>106</v>
      </c>
      <c r="P701" s="24"/>
      <c r="Q701" s="13"/>
    </row>
    <row r="702" spans="1:17" s="88" customFormat="1" ht="30" customHeight="1">
      <c r="A702" s="72" t="s">
        <v>81</v>
      </c>
      <c r="B702" s="49">
        <f>C702*1.25</f>
        <v>25</v>
      </c>
      <c r="C702" s="49">
        <v>20</v>
      </c>
      <c r="D702" s="50"/>
      <c r="E702" s="144"/>
      <c r="F702" s="144"/>
      <c r="G702" s="144"/>
      <c r="H702" s="185"/>
      <c r="I702" s="443"/>
      <c r="J702" s="13"/>
      <c r="L702" s="8" t="s">
        <v>44</v>
      </c>
      <c r="N702" s="13"/>
      <c r="O702" s="8" t="s">
        <v>43</v>
      </c>
      <c r="P702" s="13"/>
      <c r="Q702" s="13"/>
    </row>
    <row r="703" spans="1:17" s="142" customFormat="1" ht="30" customHeight="1">
      <c r="A703" s="72" t="s">
        <v>16</v>
      </c>
      <c r="B703" s="49">
        <f>C703*1.33</f>
        <v>26.6</v>
      </c>
      <c r="C703" s="49">
        <v>20</v>
      </c>
      <c r="D703" s="50"/>
      <c r="E703" s="144"/>
      <c r="F703" s="144"/>
      <c r="G703" s="144"/>
      <c r="H703" s="185"/>
      <c r="I703" s="443"/>
      <c r="J703" s="13"/>
      <c r="L703" s="8" t="s">
        <v>99</v>
      </c>
      <c r="M703" s="88"/>
      <c r="N703" s="13"/>
      <c r="O703" s="7" t="s">
        <v>44</v>
      </c>
      <c r="P703" s="24">
        <f>C585+C577</f>
        <v>17.5</v>
      </c>
      <c r="Q703" s="13"/>
    </row>
    <row r="704" spans="1:16" s="13" customFormat="1" ht="30" customHeight="1">
      <c r="A704" s="75" t="s">
        <v>18</v>
      </c>
      <c r="B704" s="28">
        <f>C704*1.19</f>
        <v>11.899999999999999</v>
      </c>
      <c r="C704" s="49">
        <v>10</v>
      </c>
      <c r="D704" s="50"/>
      <c r="E704" s="144"/>
      <c r="F704" s="144"/>
      <c r="G704" s="144"/>
      <c r="H704" s="185"/>
      <c r="I704" s="443"/>
      <c r="L704" s="8" t="s">
        <v>46</v>
      </c>
      <c r="M704" s="24">
        <f>+C647++C668+C611+C614</f>
        <v>27</v>
      </c>
      <c r="O704" s="7" t="s">
        <v>99</v>
      </c>
      <c r="P704" s="24">
        <f>C544</f>
        <v>20</v>
      </c>
    </row>
    <row r="705" spans="1:16" s="13" customFormat="1" ht="30" customHeight="1">
      <c r="A705" s="72" t="s">
        <v>151</v>
      </c>
      <c r="B705" s="55">
        <f>C705*1.28</f>
        <v>1.7919999999999998</v>
      </c>
      <c r="C705" s="54">
        <v>1.4</v>
      </c>
      <c r="D705" s="50"/>
      <c r="E705" s="144"/>
      <c r="F705" s="144"/>
      <c r="G705" s="144"/>
      <c r="H705" s="185"/>
      <c r="I705" s="443"/>
      <c r="L705" s="8" t="s">
        <v>47</v>
      </c>
      <c r="M705" s="24">
        <f>C630+B610+C659</f>
        <v>14.2</v>
      </c>
      <c r="O705" s="8" t="s">
        <v>46</v>
      </c>
      <c r="P705" s="200">
        <f>B529+C575+C591</f>
        <v>15</v>
      </c>
    </row>
    <row r="706" spans="1:16" s="13" customFormat="1" ht="30" customHeight="1">
      <c r="A706" s="72" t="s">
        <v>22</v>
      </c>
      <c r="B706" s="49">
        <v>6</v>
      </c>
      <c r="C706" s="49">
        <v>6</v>
      </c>
      <c r="D706" s="50"/>
      <c r="E706" s="144"/>
      <c r="F706" s="144"/>
      <c r="G706" s="144"/>
      <c r="H706" s="185"/>
      <c r="I706" s="443"/>
      <c r="L706" s="8" t="s">
        <v>48</v>
      </c>
      <c r="M706" s="89"/>
      <c r="O706" s="8" t="s">
        <v>47</v>
      </c>
      <c r="P706" s="89">
        <f>C582</f>
        <v>5</v>
      </c>
    </row>
    <row r="707" spans="1:16" s="13" customFormat="1" ht="30" customHeight="1">
      <c r="A707" s="72" t="s">
        <v>11</v>
      </c>
      <c r="B707" s="49">
        <v>2</v>
      </c>
      <c r="C707" s="49">
        <v>2</v>
      </c>
      <c r="D707" s="50"/>
      <c r="E707" s="144"/>
      <c r="F707" s="144"/>
      <c r="G707" s="144"/>
      <c r="H707" s="185"/>
      <c r="I707" s="443"/>
      <c r="J707" s="1"/>
      <c r="O707" s="8" t="s">
        <v>48</v>
      </c>
      <c r="P707" s="24">
        <f>+C564</f>
        <v>1.2</v>
      </c>
    </row>
    <row r="708" spans="1:16" s="13" customFormat="1" ht="30" customHeight="1">
      <c r="A708" s="534" t="s">
        <v>295</v>
      </c>
      <c r="B708" s="534"/>
      <c r="C708" s="534"/>
      <c r="D708" s="53">
        <v>180</v>
      </c>
      <c r="E708" s="121">
        <v>3.6</v>
      </c>
      <c r="F708" s="121">
        <v>4.5</v>
      </c>
      <c r="G708" s="121">
        <v>23.1</v>
      </c>
      <c r="H708" s="62">
        <f>G708*4+F708*9+E708*4</f>
        <v>147.3</v>
      </c>
      <c r="I708" s="304" t="s">
        <v>296</v>
      </c>
      <c r="J708" s="1"/>
      <c r="P708" s="88"/>
    </row>
    <row r="709" spans="1:17" s="88" customFormat="1" ht="30" customHeight="1">
      <c r="A709" s="75" t="s">
        <v>12</v>
      </c>
      <c r="B709" s="51">
        <f>C709*1.33</f>
        <v>203.49</v>
      </c>
      <c r="C709" s="51">
        <v>153</v>
      </c>
      <c r="D709" s="50"/>
      <c r="E709" s="144"/>
      <c r="F709" s="144"/>
      <c r="G709" s="144"/>
      <c r="H709" s="185"/>
      <c r="I709" s="443"/>
      <c r="J709" s="1"/>
      <c r="M709" s="13"/>
      <c r="N709" s="13"/>
      <c r="O709" s="13"/>
      <c r="P709" s="13"/>
      <c r="Q709" s="13"/>
    </row>
    <row r="710" spans="1:10" s="13" customFormat="1" ht="30" customHeight="1">
      <c r="A710" s="75" t="s">
        <v>13</v>
      </c>
      <c r="B710" s="51">
        <f>C710*1.43</f>
        <v>218.79</v>
      </c>
      <c r="C710" s="51">
        <v>153</v>
      </c>
      <c r="D710" s="50"/>
      <c r="E710" s="144"/>
      <c r="F710" s="144"/>
      <c r="G710" s="144"/>
      <c r="H710" s="185"/>
      <c r="I710" s="443"/>
      <c r="J710" s="1"/>
    </row>
    <row r="711" spans="1:10" s="13" customFormat="1" ht="30" customHeight="1">
      <c r="A711" s="75" t="s">
        <v>14</v>
      </c>
      <c r="B711" s="51">
        <f>C711*1.54</f>
        <v>235.62</v>
      </c>
      <c r="C711" s="51">
        <v>153</v>
      </c>
      <c r="D711" s="50"/>
      <c r="E711" s="144"/>
      <c r="F711" s="63"/>
      <c r="G711" s="63"/>
      <c r="H711" s="62"/>
      <c r="I711" s="443"/>
      <c r="J711" s="1"/>
    </row>
    <row r="712" spans="1:17" s="13" customFormat="1" ht="30" customHeight="1">
      <c r="A712" s="75" t="s">
        <v>15</v>
      </c>
      <c r="B712" s="51">
        <f>C712*1.67</f>
        <v>255.51</v>
      </c>
      <c r="C712" s="51">
        <v>153</v>
      </c>
      <c r="D712" s="50"/>
      <c r="E712" s="144"/>
      <c r="F712" s="63"/>
      <c r="G712" s="63"/>
      <c r="H712" s="62"/>
      <c r="I712" s="443"/>
      <c r="J712" s="132"/>
      <c r="M712" s="132"/>
      <c r="N712" s="132"/>
      <c r="O712" s="132"/>
      <c r="P712" s="132"/>
      <c r="Q712" s="132"/>
    </row>
    <row r="713" spans="1:17" s="13" customFormat="1" ht="30" customHeight="1">
      <c r="A713" s="75" t="s">
        <v>70</v>
      </c>
      <c r="B713" s="5">
        <v>28</v>
      </c>
      <c r="C713" s="5">
        <v>28</v>
      </c>
      <c r="D713" s="50"/>
      <c r="E713" s="144"/>
      <c r="F713" s="144"/>
      <c r="G713" s="144"/>
      <c r="H713" s="185"/>
      <c r="I713" s="443"/>
      <c r="J713" s="1"/>
      <c r="M713" s="1"/>
      <c r="N713" s="1"/>
      <c r="O713" s="1"/>
      <c r="P713" s="1"/>
      <c r="Q713" s="1"/>
    </row>
    <row r="714" spans="1:17" s="13" customFormat="1" ht="30" customHeight="1">
      <c r="A714" s="81" t="s">
        <v>56</v>
      </c>
      <c r="B714" s="280">
        <f>B713*460/1000</f>
        <v>12.88</v>
      </c>
      <c r="C714" s="280">
        <f>C713*460/1000</f>
        <v>12.88</v>
      </c>
      <c r="D714" s="219"/>
      <c r="E714" s="63"/>
      <c r="F714" s="63"/>
      <c r="G714" s="63"/>
      <c r="H714" s="62"/>
      <c r="I714" s="443"/>
      <c r="J714" s="1"/>
      <c r="M714" s="1"/>
      <c r="N714" s="1"/>
      <c r="O714" s="1"/>
      <c r="P714" s="1"/>
      <c r="Q714" s="1"/>
    </row>
    <row r="715" spans="1:17" s="13" customFormat="1" ht="30" customHeight="1">
      <c r="A715" s="81" t="s">
        <v>57</v>
      </c>
      <c r="B715" s="375">
        <f>B713*120/1000</f>
        <v>3.36</v>
      </c>
      <c r="C715" s="375">
        <f>C713*120/1000</f>
        <v>3.36</v>
      </c>
      <c r="D715" s="219"/>
      <c r="E715" s="63"/>
      <c r="F715" s="63"/>
      <c r="G715" s="63"/>
      <c r="H715" s="62"/>
      <c r="I715" s="443"/>
      <c r="J715" s="1"/>
      <c r="M715" s="1"/>
      <c r="N715" s="1"/>
      <c r="O715" s="1"/>
      <c r="P715" s="1"/>
      <c r="Q715" s="1"/>
    </row>
    <row r="716" spans="1:17" s="13" customFormat="1" ht="30" customHeight="1">
      <c r="A716" s="264" t="s">
        <v>185</v>
      </c>
      <c r="B716" s="265">
        <f>B713-B714</f>
        <v>15.12</v>
      </c>
      <c r="C716" s="265">
        <f>C713-C714</f>
        <v>15.12</v>
      </c>
      <c r="D716" s="266"/>
      <c r="E716" s="267"/>
      <c r="F716" s="267"/>
      <c r="G716" s="267"/>
      <c r="H716" s="268"/>
      <c r="I716" s="447"/>
      <c r="J716" s="1"/>
      <c r="M716" s="1"/>
      <c r="N716" s="90" t="s">
        <v>66</v>
      </c>
      <c r="O716" s="88"/>
      <c r="P716" s="1"/>
      <c r="Q716" s="1"/>
    </row>
    <row r="717" spans="1:17" s="88" customFormat="1" ht="30" customHeight="1">
      <c r="A717" s="264" t="s">
        <v>186</v>
      </c>
      <c r="B717" s="269">
        <f>B713-B715</f>
        <v>24.64</v>
      </c>
      <c r="C717" s="269">
        <f>C713-C715</f>
        <v>24.64</v>
      </c>
      <c r="D717" s="266"/>
      <c r="E717" s="267"/>
      <c r="F717" s="267"/>
      <c r="G717" s="267"/>
      <c r="H717" s="268"/>
      <c r="I717" s="447"/>
      <c r="J717" s="90"/>
      <c r="M717" s="90"/>
      <c r="N717" s="104" t="s">
        <v>27</v>
      </c>
      <c r="O717" s="88">
        <f>D781+D728</f>
        <v>70</v>
      </c>
      <c r="P717" s="90"/>
      <c r="Q717" s="90"/>
    </row>
    <row r="718" spans="1:17" s="13" customFormat="1" ht="27.75" customHeight="1">
      <c r="A718" s="124" t="s">
        <v>19</v>
      </c>
      <c r="B718" s="185">
        <v>6</v>
      </c>
      <c r="C718" s="185">
        <v>6</v>
      </c>
      <c r="D718" s="122"/>
      <c r="E718" s="144"/>
      <c r="F718" s="144"/>
      <c r="G718" s="144"/>
      <c r="H718" s="185"/>
      <c r="I718" s="443"/>
      <c r="J718" s="90"/>
      <c r="M718" s="90"/>
      <c r="N718" s="8" t="s">
        <v>28</v>
      </c>
      <c r="O718" s="89">
        <f>B765+D779+C696+B683+C689</f>
        <v>116</v>
      </c>
      <c r="P718" s="90"/>
      <c r="Q718" s="90"/>
    </row>
    <row r="719" spans="1:17" s="13" customFormat="1" ht="27.75" customHeight="1">
      <c r="A719" s="504" t="s">
        <v>259</v>
      </c>
      <c r="B719" s="504"/>
      <c r="C719" s="504"/>
      <c r="D719" s="29">
        <v>200</v>
      </c>
      <c r="E719" s="63">
        <v>1.9</v>
      </c>
      <c r="F719" s="63">
        <v>1.7</v>
      </c>
      <c r="G719" s="63">
        <v>17</v>
      </c>
      <c r="H719" s="62">
        <f>G719*4+F719*9+E719*4</f>
        <v>90.89999999999999</v>
      </c>
      <c r="I719" s="302" t="s">
        <v>260</v>
      </c>
      <c r="J719" s="1"/>
      <c r="M719" s="1"/>
      <c r="N719" s="8" t="s">
        <v>29</v>
      </c>
      <c r="O719" s="24"/>
      <c r="P719" s="1"/>
      <c r="Q719" s="1"/>
    </row>
    <row r="720" spans="1:17" s="13" customFormat="1" ht="27.75" customHeight="1">
      <c r="A720" s="124" t="s">
        <v>134</v>
      </c>
      <c r="B720" s="122">
        <v>4</v>
      </c>
      <c r="C720" s="122">
        <v>4</v>
      </c>
      <c r="D720" s="122"/>
      <c r="E720" s="144"/>
      <c r="F720" s="144"/>
      <c r="G720" s="144"/>
      <c r="H720" s="122"/>
      <c r="I720" s="443"/>
      <c r="J720" s="90"/>
      <c r="M720" s="90"/>
      <c r="N720" s="99" t="s">
        <v>53</v>
      </c>
      <c r="O720" s="89">
        <f>C768</f>
        <v>45</v>
      </c>
      <c r="P720" s="90"/>
      <c r="Q720" s="90"/>
    </row>
    <row r="721" spans="1:17" s="13" customFormat="1" ht="27.75" customHeight="1">
      <c r="A721" s="75" t="s">
        <v>4</v>
      </c>
      <c r="B721" s="40">
        <v>15</v>
      </c>
      <c r="C721" s="40">
        <v>15</v>
      </c>
      <c r="D721" s="40"/>
      <c r="E721" s="144"/>
      <c r="F721" s="144"/>
      <c r="G721" s="144"/>
      <c r="H721" s="122"/>
      <c r="I721" s="443"/>
      <c r="J721" s="90"/>
      <c r="M721" s="90"/>
      <c r="N721" s="9"/>
      <c r="O721" s="24">
        <f>C753</f>
        <v>8</v>
      </c>
      <c r="P721" s="90"/>
      <c r="Q721" s="90"/>
    </row>
    <row r="722" spans="1:17" s="13" customFormat="1" ht="27.75" customHeight="1">
      <c r="A722" s="75" t="s">
        <v>70</v>
      </c>
      <c r="B722" s="40">
        <v>50</v>
      </c>
      <c r="C722" s="40">
        <v>50</v>
      </c>
      <c r="D722" s="40"/>
      <c r="E722" s="144"/>
      <c r="F722" s="144"/>
      <c r="G722" s="144"/>
      <c r="H722" s="122"/>
      <c r="I722" s="443"/>
      <c r="J722" s="132"/>
      <c r="M722" s="132"/>
      <c r="N722" s="8" t="s">
        <v>30</v>
      </c>
      <c r="O722" s="24">
        <f>+C746+C709+C759</f>
        <v>211</v>
      </c>
      <c r="P722" s="132"/>
      <c r="Q722" s="132"/>
    </row>
    <row r="723" spans="1:17" s="13" customFormat="1" ht="27.75" customHeight="1">
      <c r="A723" s="81" t="s">
        <v>56</v>
      </c>
      <c r="B723" s="280">
        <f>B722*460/1000</f>
        <v>23</v>
      </c>
      <c r="C723" s="280">
        <f>C722*460/1000</f>
        <v>23</v>
      </c>
      <c r="D723" s="219"/>
      <c r="E723" s="63"/>
      <c r="F723" s="63"/>
      <c r="G723" s="63"/>
      <c r="H723" s="62"/>
      <c r="I723" s="443"/>
      <c r="J723" s="90"/>
      <c r="K723" s="90"/>
      <c r="L723" s="90"/>
      <c r="M723" s="90"/>
      <c r="N723" s="8" t="s">
        <v>31</v>
      </c>
      <c r="O723" s="89">
        <f>C750+C752+C732++C763++C736+C745+C742</f>
        <v>126.3</v>
      </c>
      <c r="P723" s="90"/>
      <c r="Q723" s="90"/>
    </row>
    <row r="724" spans="1:17" s="13" customFormat="1" ht="27.75" customHeight="1">
      <c r="A724" s="81" t="s">
        <v>57</v>
      </c>
      <c r="B724" s="280">
        <f>B722*120/1000</f>
        <v>6</v>
      </c>
      <c r="C724" s="280">
        <f>C722*120/1000</f>
        <v>6</v>
      </c>
      <c r="D724" s="219"/>
      <c r="E724" s="63"/>
      <c r="F724" s="63"/>
      <c r="G724" s="63"/>
      <c r="H724" s="62"/>
      <c r="I724" s="443"/>
      <c r="J724" s="90"/>
      <c r="K724" s="90"/>
      <c r="L724" s="90"/>
      <c r="M724" s="90"/>
      <c r="N724" s="7" t="s">
        <v>32</v>
      </c>
      <c r="O724" s="24">
        <f>C731</f>
        <v>31</v>
      </c>
      <c r="P724" s="90"/>
      <c r="Q724" s="90"/>
    </row>
    <row r="725" spans="1:17" s="13" customFormat="1" ht="27.75" customHeight="1">
      <c r="A725" s="264" t="s">
        <v>185</v>
      </c>
      <c r="B725" s="265">
        <f>B722-B723</f>
        <v>27</v>
      </c>
      <c r="C725" s="265">
        <f>C722-C723</f>
        <v>27</v>
      </c>
      <c r="D725" s="266"/>
      <c r="E725" s="267"/>
      <c r="F725" s="267"/>
      <c r="G725" s="267"/>
      <c r="H725" s="268"/>
      <c r="I725" s="447"/>
      <c r="J725" s="1"/>
      <c r="K725" s="90"/>
      <c r="L725" s="90"/>
      <c r="M725" s="1"/>
      <c r="N725" s="8" t="s">
        <v>33</v>
      </c>
      <c r="O725" s="88"/>
      <c r="P725" s="1"/>
      <c r="Q725" s="1"/>
    </row>
    <row r="726" spans="1:17" s="13" customFormat="1" ht="27.75" customHeight="1">
      <c r="A726" s="264" t="s">
        <v>186</v>
      </c>
      <c r="B726" s="265">
        <f>B722-B724</f>
        <v>44</v>
      </c>
      <c r="C726" s="265">
        <f>C722-C724</f>
        <v>44</v>
      </c>
      <c r="D726" s="266"/>
      <c r="E726" s="267"/>
      <c r="F726" s="267"/>
      <c r="G726" s="267"/>
      <c r="H726" s="268"/>
      <c r="I726" s="447"/>
      <c r="J726" s="1"/>
      <c r="K726" s="1"/>
      <c r="L726" s="1"/>
      <c r="M726" s="1"/>
      <c r="N726" s="8" t="s">
        <v>34</v>
      </c>
      <c r="O726" s="89">
        <f>B721</f>
        <v>15</v>
      </c>
      <c r="P726" s="1"/>
      <c r="Q726" s="1"/>
    </row>
    <row r="727" spans="1:17" s="13" customFormat="1" ht="27.75" customHeight="1">
      <c r="A727" s="306" t="s">
        <v>490</v>
      </c>
      <c r="B727" s="122">
        <v>129</v>
      </c>
      <c r="C727" s="122">
        <v>125</v>
      </c>
      <c r="D727" s="307">
        <v>125</v>
      </c>
      <c r="E727" s="127">
        <v>2.5</v>
      </c>
      <c r="F727" s="127">
        <v>3.1</v>
      </c>
      <c r="G727" s="127">
        <v>4.4</v>
      </c>
      <c r="H727" s="62">
        <f>E727*4+F727*9+G727*4</f>
        <v>55.50000000000001</v>
      </c>
      <c r="I727" s="304" t="s">
        <v>306</v>
      </c>
      <c r="J727" s="88"/>
      <c r="K727" s="1"/>
      <c r="L727" s="1"/>
      <c r="M727" s="90"/>
      <c r="N727" s="8" t="s">
        <v>35</v>
      </c>
      <c r="O727" s="88">
        <f>D771</f>
        <v>200</v>
      </c>
      <c r="P727" s="90"/>
      <c r="Q727" s="90"/>
    </row>
    <row r="728" spans="1:17" s="13" customFormat="1" ht="27.75" customHeight="1">
      <c r="A728" s="495" t="s">
        <v>27</v>
      </c>
      <c r="B728" s="122">
        <v>20</v>
      </c>
      <c r="C728" s="122">
        <v>20</v>
      </c>
      <c r="D728" s="29">
        <v>20</v>
      </c>
      <c r="E728" s="31">
        <v>0.7</v>
      </c>
      <c r="F728" s="31">
        <v>0.2</v>
      </c>
      <c r="G728" s="31">
        <v>9.4</v>
      </c>
      <c r="H728" s="35">
        <v>41.3</v>
      </c>
      <c r="I728" s="444"/>
      <c r="J728" s="88"/>
      <c r="K728" s="90"/>
      <c r="L728" s="90"/>
      <c r="M728" s="90"/>
      <c r="N728" s="8" t="s">
        <v>36</v>
      </c>
      <c r="O728" s="88"/>
      <c r="P728" s="90"/>
      <c r="Q728" s="90"/>
    </row>
    <row r="729" spans="1:17" s="88" customFormat="1" ht="27.75" customHeight="1">
      <c r="A729" s="507" t="s">
        <v>77</v>
      </c>
      <c r="B729" s="507"/>
      <c r="C729" s="507"/>
      <c r="D729" s="184">
        <f>D730+260+D756+D767+D771</f>
        <v>840</v>
      </c>
      <c r="E729" s="57">
        <f>E730+E738+E756+E767+E771+E779+E781</f>
        <v>26.94</v>
      </c>
      <c r="F729" s="57">
        <f>F730+F738+F756+F767+F771+F779+F781</f>
        <v>29.36</v>
      </c>
      <c r="G729" s="57">
        <f>G730+G738+G756+G767+G771+G779+G781</f>
        <v>136.32</v>
      </c>
      <c r="H729" s="153">
        <f>H730+H738+H756+H767+H771+H779+H781</f>
        <v>913.6800000000001</v>
      </c>
      <c r="I729" s="469"/>
      <c r="J729" s="13"/>
      <c r="K729" s="90"/>
      <c r="L729" s="90"/>
      <c r="M729" s="1"/>
      <c r="N729" s="8" t="s">
        <v>82</v>
      </c>
      <c r="O729" s="13"/>
      <c r="P729" s="1"/>
      <c r="Q729" s="1"/>
    </row>
    <row r="730" spans="1:17" s="13" customFormat="1" ht="27.75" customHeight="1">
      <c r="A730" s="509" t="s">
        <v>487</v>
      </c>
      <c r="B730" s="509"/>
      <c r="C730" s="509"/>
      <c r="D730" s="29">
        <v>100</v>
      </c>
      <c r="E730" s="63">
        <v>2.6</v>
      </c>
      <c r="F730" s="121">
        <v>6.8</v>
      </c>
      <c r="G730" s="121">
        <v>6.2</v>
      </c>
      <c r="H730" s="62">
        <v>98</v>
      </c>
      <c r="I730" s="444" t="s">
        <v>488</v>
      </c>
      <c r="K730" s="1"/>
      <c r="L730" s="1"/>
      <c r="M730" s="1"/>
      <c r="N730" s="8" t="s">
        <v>54</v>
      </c>
      <c r="P730" s="1"/>
      <c r="Q730" s="1"/>
    </row>
    <row r="731" spans="1:17" s="13" customFormat="1" ht="27.75" customHeight="1">
      <c r="A731" s="79" t="s">
        <v>183</v>
      </c>
      <c r="B731" s="49">
        <f>C731*1.43</f>
        <v>44.33</v>
      </c>
      <c r="C731" s="50">
        <v>31</v>
      </c>
      <c r="D731" s="29"/>
      <c r="E731" s="63"/>
      <c r="F731" s="63"/>
      <c r="G731" s="63"/>
      <c r="H731" s="63"/>
      <c r="I731" s="444"/>
      <c r="K731" s="1"/>
      <c r="L731" s="1"/>
      <c r="M731" s="1"/>
      <c r="N731" s="13" t="s">
        <v>257</v>
      </c>
      <c r="O731" s="13">
        <f>C720</f>
        <v>4</v>
      </c>
      <c r="P731" s="1"/>
      <c r="Q731" s="1"/>
    </row>
    <row r="732" spans="1:17" s="88" customFormat="1" ht="27.75" customHeight="1">
      <c r="A732" s="72" t="s">
        <v>17</v>
      </c>
      <c r="B732" s="49">
        <f>C732*1.25</f>
        <v>70</v>
      </c>
      <c r="C732" s="40">
        <v>56</v>
      </c>
      <c r="D732" s="106"/>
      <c r="E732" s="144"/>
      <c r="F732" s="121"/>
      <c r="G732" s="121"/>
      <c r="H732" s="157"/>
      <c r="I732" s="443"/>
      <c r="J732" s="13"/>
      <c r="K732" s="1"/>
      <c r="L732" s="1"/>
      <c r="M732" s="13"/>
      <c r="N732" s="7" t="s">
        <v>37</v>
      </c>
      <c r="O732" s="13"/>
      <c r="P732" s="13"/>
      <c r="Q732" s="13"/>
    </row>
    <row r="733" spans="1:17" s="88" customFormat="1" ht="27.75" customHeight="1">
      <c r="A733" s="72" t="s">
        <v>16</v>
      </c>
      <c r="B733" s="49">
        <f>C733*1.33</f>
        <v>74.48</v>
      </c>
      <c r="C733" s="40">
        <v>56</v>
      </c>
      <c r="D733" s="106"/>
      <c r="E733" s="144"/>
      <c r="F733" s="121"/>
      <c r="G733" s="121"/>
      <c r="H733" s="157"/>
      <c r="I733" s="443"/>
      <c r="J733" s="13"/>
      <c r="K733" s="1"/>
      <c r="L733" s="1"/>
      <c r="M733" s="13"/>
      <c r="N733" s="7" t="s">
        <v>38</v>
      </c>
      <c r="O733" s="24">
        <f>C757+C740</f>
        <v>100</v>
      </c>
      <c r="P733" s="13"/>
      <c r="Q733" s="13"/>
    </row>
    <row r="734" spans="1:17" s="88" customFormat="1" ht="27.75" customHeight="1">
      <c r="A734" s="183" t="s">
        <v>201</v>
      </c>
      <c r="B734" s="49"/>
      <c r="C734" s="40">
        <v>53</v>
      </c>
      <c r="D734" s="106"/>
      <c r="E734" s="144"/>
      <c r="F734" s="121"/>
      <c r="G734" s="121"/>
      <c r="H734" s="157"/>
      <c r="I734" s="443"/>
      <c r="K734" s="13"/>
      <c r="L734" s="13"/>
      <c r="M734" s="13"/>
      <c r="N734" s="60" t="s">
        <v>39</v>
      </c>
      <c r="O734" s="200">
        <f>+C686</f>
        <v>78</v>
      </c>
      <c r="P734" s="13"/>
      <c r="Q734" s="13"/>
    </row>
    <row r="735" spans="1:17" s="88" customFormat="1" ht="27.75" customHeight="1">
      <c r="A735" s="72" t="s">
        <v>80</v>
      </c>
      <c r="B735" s="49">
        <v>12</v>
      </c>
      <c r="C735" s="40">
        <v>10.5</v>
      </c>
      <c r="D735" s="106"/>
      <c r="E735" s="144"/>
      <c r="F735" s="121"/>
      <c r="G735" s="121"/>
      <c r="H735" s="157"/>
      <c r="I735" s="443"/>
      <c r="J735" s="13"/>
      <c r="K735" s="13"/>
      <c r="L735" s="13"/>
      <c r="M735" s="13"/>
      <c r="N735" s="7" t="s">
        <v>40</v>
      </c>
      <c r="O735" s="13"/>
      <c r="P735" s="13"/>
      <c r="Q735" s="13"/>
    </row>
    <row r="736" spans="1:17" s="88" customFormat="1" ht="27.75" customHeight="1">
      <c r="A736" s="79" t="s">
        <v>151</v>
      </c>
      <c r="B736" s="49">
        <f>C736*1.28</f>
        <v>1.024</v>
      </c>
      <c r="C736" s="40">
        <v>0.8</v>
      </c>
      <c r="D736" s="106"/>
      <c r="E736" s="144"/>
      <c r="F736" s="121"/>
      <c r="G736" s="121"/>
      <c r="H736" s="157"/>
      <c r="I736" s="443"/>
      <c r="J736" s="13"/>
      <c r="K736" s="13"/>
      <c r="L736" s="13"/>
      <c r="M736" s="13"/>
      <c r="N736" s="7" t="s">
        <v>41</v>
      </c>
      <c r="O736" s="13"/>
      <c r="P736" s="13"/>
      <c r="Q736" s="13"/>
    </row>
    <row r="737" spans="1:17" s="88" customFormat="1" ht="27.75" customHeight="1">
      <c r="A737" s="75" t="s">
        <v>173</v>
      </c>
      <c r="B737" s="50">
        <v>5</v>
      </c>
      <c r="C737" s="50">
        <v>5</v>
      </c>
      <c r="D737" s="52"/>
      <c r="E737" s="55"/>
      <c r="F737" s="45"/>
      <c r="G737" s="45"/>
      <c r="H737" s="155"/>
      <c r="I737" s="465"/>
      <c r="J737" s="13"/>
      <c r="K737" s="13"/>
      <c r="L737" s="13"/>
      <c r="M737" s="13"/>
      <c r="N737" s="8" t="s">
        <v>42</v>
      </c>
      <c r="O737" s="24">
        <f>C690+C722+C713</f>
        <v>98</v>
      </c>
      <c r="P737" s="13"/>
      <c r="Q737" s="13"/>
    </row>
    <row r="738" spans="1:15" s="13" customFormat="1" ht="27.75" customHeight="1">
      <c r="A738" s="546" t="s">
        <v>462</v>
      </c>
      <c r="B738" s="546"/>
      <c r="C738" s="546"/>
      <c r="D738" s="48" t="s">
        <v>167</v>
      </c>
      <c r="E738" s="63">
        <v>4.1</v>
      </c>
      <c r="F738" s="63">
        <v>4.8</v>
      </c>
      <c r="G738" s="63">
        <v>21</v>
      </c>
      <c r="H738" s="62">
        <f>E738*4+F738*9+G738*4</f>
        <v>143.6</v>
      </c>
      <c r="I738" s="444" t="s">
        <v>386</v>
      </c>
      <c r="N738" s="8" t="s">
        <v>104</v>
      </c>
      <c r="O738" s="24">
        <f>D727</f>
        <v>125</v>
      </c>
    </row>
    <row r="739" spans="1:17" s="13" customFormat="1" ht="27.75" customHeight="1">
      <c r="A739" s="253" t="s">
        <v>363</v>
      </c>
      <c r="B739" s="250"/>
      <c r="C739" s="158">
        <v>15</v>
      </c>
      <c r="D739" s="158"/>
      <c r="E739" s="63"/>
      <c r="F739" s="63"/>
      <c r="G739" s="63"/>
      <c r="H739" s="62"/>
      <c r="I739" s="444" t="s">
        <v>364</v>
      </c>
      <c r="M739" s="88"/>
      <c r="N739" s="8" t="s">
        <v>43</v>
      </c>
      <c r="P739" s="88"/>
      <c r="Q739" s="88"/>
    </row>
    <row r="740" spans="1:15" s="13" customFormat="1" ht="27.75" customHeight="1">
      <c r="A740" s="73" t="s">
        <v>111</v>
      </c>
      <c r="B740" s="38">
        <f>C740*1.36</f>
        <v>23.12</v>
      </c>
      <c r="C740" s="49">
        <v>17</v>
      </c>
      <c r="D740" s="5"/>
      <c r="E740" s="144"/>
      <c r="F740" s="144"/>
      <c r="G740" s="144"/>
      <c r="H740" s="185"/>
      <c r="I740" s="443"/>
      <c r="N740" s="7" t="s">
        <v>44</v>
      </c>
      <c r="O740" s="24"/>
    </row>
    <row r="741" spans="1:14" s="13" customFormat="1" ht="27.75" customHeight="1">
      <c r="A741" s="73" t="s">
        <v>112</v>
      </c>
      <c r="B741" s="38">
        <f>C741*1.18</f>
        <v>20.06</v>
      </c>
      <c r="C741" s="5">
        <f>C740</f>
        <v>17</v>
      </c>
      <c r="D741" s="42"/>
      <c r="E741" s="43"/>
      <c r="F741" s="43"/>
      <c r="G741" s="43"/>
      <c r="H741" s="160"/>
      <c r="I741" s="449"/>
      <c r="K741" s="88"/>
      <c r="L741" s="88"/>
      <c r="N741" s="7" t="s">
        <v>99</v>
      </c>
    </row>
    <row r="742" spans="1:15" s="13" customFormat="1" ht="27.75" customHeight="1">
      <c r="A742" s="72" t="s">
        <v>18</v>
      </c>
      <c r="B742" s="51">
        <f>C742*1.19</f>
        <v>1.785</v>
      </c>
      <c r="C742" s="5">
        <v>1.5</v>
      </c>
      <c r="D742" s="42"/>
      <c r="E742" s="43"/>
      <c r="F742" s="43"/>
      <c r="G742" s="43"/>
      <c r="H742" s="160"/>
      <c r="I742" s="449"/>
      <c r="N742" s="8" t="s">
        <v>46</v>
      </c>
      <c r="O742" s="24">
        <f>+C754+C770+B684++C718</f>
        <v>27</v>
      </c>
    </row>
    <row r="743" spans="1:17" s="13" customFormat="1" ht="27.75" customHeight="1">
      <c r="A743" s="124" t="s">
        <v>84</v>
      </c>
      <c r="B743" s="144">
        <v>1.5</v>
      </c>
      <c r="C743" s="5">
        <v>1.5</v>
      </c>
      <c r="D743" s="42"/>
      <c r="E743" s="43"/>
      <c r="F743" s="43"/>
      <c r="G743" s="43"/>
      <c r="H743" s="160"/>
      <c r="I743" s="449"/>
      <c r="J743" s="88"/>
      <c r="M743" s="88"/>
      <c r="N743" s="8" t="s">
        <v>47</v>
      </c>
      <c r="O743" s="24">
        <f>C737+C766++C697</f>
        <v>10</v>
      </c>
      <c r="P743" s="88"/>
      <c r="Q743" s="88"/>
    </row>
    <row r="744" spans="1:15" s="173" customFormat="1" ht="27.75" customHeight="1">
      <c r="A744" s="124" t="s">
        <v>109</v>
      </c>
      <c r="B744" s="144">
        <v>1.2</v>
      </c>
      <c r="C744" s="5">
        <v>1.2</v>
      </c>
      <c r="D744" s="42"/>
      <c r="E744" s="43"/>
      <c r="F744" s="43"/>
      <c r="G744" s="43"/>
      <c r="H744" s="160"/>
      <c r="I744" s="449"/>
      <c r="J744" s="13"/>
      <c r="K744" s="88"/>
      <c r="L744" s="13"/>
      <c r="M744" s="13"/>
      <c r="N744" s="8" t="s">
        <v>48</v>
      </c>
      <c r="O744" s="24">
        <f>B764+C695+C744</f>
        <v>15.2</v>
      </c>
    </row>
    <row r="745" spans="1:15" s="88" customFormat="1" ht="27.75" customHeight="1">
      <c r="A745" s="72" t="s">
        <v>75</v>
      </c>
      <c r="B745" s="182">
        <f>C745*1.25</f>
        <v>43.75</v>
      </c>
      <c r="C745" s="182">
        <v>35</v>
      </c>
      <c r="D745" s="122"/>
      <c r="E745" s="144"/>
      <c r="F745" s="144"/>
      <c r="G745" s="144"/>
      <c r="H745" s="185"/>
      <c r="I745" s="443"/>
      <c r="J745" s="13"/>
      <c r="L745" s="13"/>
      <c r="M745" s="13"/>
      <c r="N745" s="13"/>
      <c r="O745" s="13"/>
    </row>
    <row r="746" spans="1:15" s="88" customFormat="1" ht="27.75" customHeight="1">
      <c r="A746" s="72" t="s">
        <v>12</v>
      </c>
      <c r="B746" s="49">
        <f>C746*1.33</f>
        <v>50.540000000000006</v>
      </c>
      <c r="C746" s="40">
        <v>38</v>
      </c>
      <c r="D746" s="106"/>
      <c r="E746" s="147"/>
      <c r="F746" s="129"/>
      <c r="G746" s="129"/>
      <c r="H746" s="263"/>
      <c r="I746" s="443"/>
      <c r="J746" s="13"/>
      <c r="L746" s="13"/>
      <c r="M746" s="13"/>
      <c r="N746" s="13"/>
      <c r="O746" s="13"/>
    </row>
    <row r="747" spans="1:15" s="88" customFormat="1" ht="27.75" customHeight="1">
      <c r="A747" s="72" t="s">
        <v>13</v>
      </c>
      <c r="B747" s="49">
        <f>C747*1.43</f>
        <v>54.339999999999996</v>
      </c>
      <c r="C747" s="40">
        <v>38</v>
      </c>
      <c r="D747" s="106"/>
      <c r="E747" s="147"/>
      <c r="F747" s="129"/>
      <c r="G747" s="129"/>
      <c r="H747" s="263"/>
      <c r="I747" s="443"/>
      <c r="J747" s="13"/>
      <c r="L747" s="13"/>
      <c r="M747" s="13"/>
      <c r="N747" s="13"/>
      <c r="O747" s="13"/>
    </row>
    <row r="748" spans="1:15" s="88" customFormat="1" ht="27.75" customHeight="1">
      <c r="A748" s="75" t="s">
        <v>14</v>
      </c>
      <c r="B748" s="49">
        <f>C748*1.54</f>
        <v>58.52</v>
      </c>
      <c r="C748" s="40">
        <v>38</v>
      </c>
      <c r="D748" s="106"/>
      <c r="E748" s="147"/>
      <c r="F748" s="129"/>
      <c r="G748" s="129"/>
      <c r="H748" s="263"/>
      <c r="I748" s="443"/>
      <c r="J748" s="13"/>
      <c r="K748" s="13"/>
      <c r="L748" s="13"/>
      <c r="M748" s="13"/>
      <c r="N748" s="13"/>
      <c r="O748" s="13"/>
    </row>
    <row r="749" spans="1:11" s="88" customFormat="1" ht="27.75" customHeight="1">
      <c r="A749" s="75" t="s">
        <v>15</v>
      </c>
      <c r="B749" s="49">
        <f>C749*1.67</f>
        <v>63.459999999999994</v>
      </c>
      <c r="C749" s="40">
        <v>38</v>
      </c>
      <c r="D749" s="106"/>
      <c r="E749" s="147"/>
      <c r="F749" s="129"/>
      <c r="G749" s="129"/>
      <c r="H749" s="263"/>
      <c r="I749" s="443"/>
      <c r="K749" s="13"/>
    </row>
    <row r="750" spans="1:15" s="88" customFormat="1" ht="27.75" customHeight="1">
      <c r="A750" s="72" t="s">
        <v>81</v>
      </c>
      <c r="B750" s="54">
        <f>C750*1.25</f>
        <v>12.5</v>
      </c>
      <c r="C750" s="5">
        <v>10</v>
      </c>
      <c r="D750" s="106"/>
      <c r="E750" s="144"/>
      <c r="F750" s="144"/>
      <c r="G750" s="129"/>
      <c r="H750" s="263"/>
      <c r="I750" s="444"/>
      <c r="J750" s="13"/>
      <c r="K750" s="13"/>
      <c r="L750" s="13"/>
      <c r="M750" s="1" t="s">
        <v>67</v>
      </c>
      <c r="N750" s="13"/>
      <c r="O750" s="13"/>
    </row>
    <row r="751" spans="1:15" s="88" customFormat="1" ht="27.75" customHeight="1">
      <c r="A751" s="72" t="s">
        <v>16</v>
      </c>
      <c r="B751" s="54">
        <f>C751*1.33</f>
        <v>13.3</v>
      </c>
      <c r="C751" s="5">
        <v>10</v>
      </c>
      <c r="D751" s="106"/>
      <c r="E751" s="144"/>
      <c r="F751" s="144"/>
      <c r="G751" s="129"/>
      <c r="H751" s="263"/>
      <c r="I751" s="444"/>
      <c r="J751" s="13"/>
      <c r="K751" s="13"/>
      <c r="L751" s="13"/>
      <c r="M751" s="6" t="s">
        <v>27</v>
      </c>
      <c r="N751" s="13">
        <f>+D882</f>
        <v>70</v>
      </c>
      <c r="O751" s="13"/>
    </row>
    <row r="752" spans="1:15" s="88" customFormat="1" ht="27.75" customHeight="1">
      <c r="A752" s="72" t="s">
        <v>18</v>
      </c>
      <c r="B752" s="51">
        <f>C752*1.19</f>
        <v>11.899999999999999</v>
      </c>
      <c r="C752" s="5">
        <v>10</v>
      </c>
      <c r="D752" s="106"/>
      <c r="E752" s="144"/>
      <c r="F752" s="144"/>
      <c r="G752" s="129"/>
      <c r="H752" s="263"/>
      <c r="I752" s="444"/>
      <c r="J752" s="13"/>
      <c r="K752" s="13"/>
      <c r="L752" s="13"/>
      <c r="M752" s="7" t="s">
        <v>28</v>
      </c>
      <c r="N752" s="24">
        <f>B800++D880++B794</f>
        <v>107</v>
      </c>
      <c r="O752" s="13"/>
    </row>
    <row r="753" spans="1:14" s="13" customFormat="1" ht="27.75" customHeight="1">
      <c r="A753" s="72" t="s">
        <v>157</v>
      </c>
      <c r="B753" s="51">
        <v>8</v>
      </c>
      <c r="C753" s="5">
        <v>8</v>
      </c>
      <c r="D753" s="106"/>
      <c r="E753" s="144"/>
      <c r="F753" s="144"/>
      <c r="G753" s="129"/>
      <c r="H753" s="263"/>
      <c r="I753" s="444"/>
      <c r="M753" s="8" t="s">
        <v>29</v>
      </c>
      <c r="N753" s="24"/>
    </row>
    <row r="754" spans="1:14" s="88" customFormat="1" ht="27.75" customHeight="1">
      <c r="A754" s="124" t="s">
        <v>19</v>
      </c>
      <c r="B754" s="185">
        <v>5</v>
      </c>
      <c r="C754" s="185">
        <v>5</v>
      </c>
      <c r="D754" s="122"/>
      <c r="E754" s="144"/>
      <c r="F754" s="144"/>
      <c r="G754" s="129"/>
      <c r="H754" s="263"/>
      <c r="I754" s="444"/>
      <c r="K754" s="13"/>
      <c r="M754" s="9" t="s">
        <v>53</v>
      </c>
      <c r="N754" s="24">
        <f>B790</f>
        <v>12.363636363636363</v>
      </c>
    </row>
    <row r="755" spans="1:15" s="13" customFormat="1" ht="27.75" customHeight="1">
      <c r="A755" s="75" t="s">
        <v>97</v>
      </c>
      <c r="B755" s="54">
        <v>0.2</v>
      </c>
      <c r="C755" s="54">
        <v>0.2</v>
      </c>
      <c r="D755" s="42"/>
      <c r="E755" s="43"/>
      <c r="F755" s="43"/>
      <c r="G755" s="43"/>
      <c r="H755" s="160"/>
      <c r="I755" s="449"/>
      <c r="J755" s="88"/>
      <c r="L755" s="88"/>
      <c r="M755" s="9"/>
      <c r="N755" s="24"/>
      <c r="O755" s="88"/>
    </row>
    <row r="756" spans="1:15" s="13" customFormat="1" ht="27.75" customHeight="1">
      <c r="A756" s="509" t="s">
        <v>387</v>
      </c>
      <c r="B756" s="509"/>
      <c r="C756" s="509"/>
      <c r="D756" s="29">
        <v>100</v>
      </c>
      <c r="E756" s="64">
        <v>9.8</v>
      </c>
      <c r="F756" s="64">
        <v>10.9</v>
      </c>
      <c r="G756" s="64">
        <v>12.6</v>
      </c>
      <c r="H756" s="35">
        <f>E756*4+F756*9+G756*4</f>
        <v>187.70000000000002</v>
      </c>
      <c r="I756" s="444" t="s">
        <v>388</v>
      </c>
      <c r="J756" s="88"/>
      <c r="L756" s="88"/>
      <c r="M756" s="8" t="s">
        <v>30</v>
      </c>
      <c r="N756" s="24">
        <f>C851++C815</f>
        <v>193</v>
      </c>
      <c r="O756" s="88"/>
    </row>
    <row r="757" spans="1:15" s="88" customFormat="1" ht="27.75" customHeight="1">
      <c r="A757" s="73" t="s">
        <v>111</v>
      </c>
      <c r="B757" s="38">
        <f>C757*1.36</f>
        <v>112.88000000000001</v>
      </c>
      <c r="C757" s="5">
        <v>83</v>
      </c>
      <c r="D757" s="42"/>
      <c r="E757" s="123"/>
      <c r="F757" s="123"/>
      <c r="G757" s="123"/>
      <c r="H757" s="123"/>
      <c r="I757" s="451"/>
      <c r="J757" s="13"/>
      <c r="K757" s="13"/>
      <c r="L757" s="13"/>
      <c r="M757" s="7" t="s">
        <v>31</v>
      </c>
      <c r="N757" s="24">
        <f>+C855+C857+C858+C819+C821++C810</f>
        <v>183</v>
      </c>
      <c r="O757" s="13"/>
    </row>
    <row r="758" spans="1:14" s="13" customFormat="1" ht="27.75" customHeight="1">
      <c r="A758" s="73" t="s">
        <v>112</v>
      </c>
      <c r="B758" s="38">
        <f>C758*1.18</f>
        <v>97.94</v>
      </c>
      <c r="C758" s="5">
        <f>C757</f>
        <v>83</v>
      </c>
      <c r="D758" s="42"/>
      <c r="E758" s="43"/>
      <c r="F758" s="43"/>
      <c r="G758" s="43"/>
      <c r="H758" s="160"/>
      <c r="I758" s="449"/>
      <c r="M758" s="7" t="s">
        <v>32</v>
      </c>
      <c r="N758" s="13">
        <f>C876+C805+D806</f>
        <v>181</v>
      </c>
    </row>
    <row r="759" spans="1:14" s="88" customFormat="1" ht="27.75" customHeight="1">
      <c r="A759" s="72" t="s">
        <v>12</v>
      </c>
      <c r="B759" s="49">
        <f>C759*1.33</f>
        <v>26.6</v>
      </c>
      <c r="C759" s="5">
        <v>20</v>
      </c>
      <c r="D759" s="42"/>
      <c r="E759" s="144"/>
      <c r="F759" s="144"/>
      <c r="G759" s="148"/>
      <c r="H759" s="161"/>
      <c r="I759" s="417"/>
      <c r="K759" s="13"/>
      <c r="M759" s="8" t="s">
        <v>33</v>
      </c>
      <c r="N759" s="13"/>
    </row>
    <row r="760" spans="1:15" s="88" customFormat="1" ht="27.75" customHeight="1">
      <c r="A760" s="72" t="s">
        <v>13</v>
      </c>
      <c r="B760" s="49">
        <f>C760*1.43</f>
        <v>28.599999999999998</v>
      </c>
      <c r="C760" s="5">
        <v>20</v>
      </c>
      <c r="D760" s="42"/>
      <c r="E760" s="144"/>
      <c r="F760" s="144"/>
      <c r="G760" s="148"/>
      <c r="H760" s="161"/>
      <c r="I760" s="417"/>
      <c r="J760" s="13"/>
      <c r="K760" s="13"/>
      <c r="L760" s="13"/>
      <c r="M760" s="60" t="s">
        <v>34</v>
      </c>
      <c r="N760" s="200">
        <f>B792+B804+B878</f>
        <v>40</v>
      </c>
      <c r="O760" s="13"/>
    </row>
    <row r="761" spans="1:15" s="90" customFormat="1" ht="27.75" customHeight="1">
      <c r="A761" s="75" t="s">
        <v>14</v>
      </c>
      <c r="B761" s="49">
        <f>C761*1.54</f>
        <v>30.8</v>
      </c>
      <c r="C761" s="5">
        <v>20</v>
      </c>
      <c r="D761" s="42"/>
      <c r="E761" s="144"/>
      <c r="F761" s="144"/>
      <c r="G761" s="148"/>
      <c r="H761" s="161"/>
      <c r="I761" s="417"/>
      <c r="J761" s="13"/>
      <c r="K761" s="13"/>
      <c r="L761" s="13"/>
      <c r="M761" s="8" t="s">
        <v>35</v>
      </c>
      <c r="N761" s="13"/>
      <c r="O761" s="13"/>
    </row>
    <row r="762" spans="1:15" s="88" customFormat="1" ht="27.75" customHeight="1">
      <c r="A762" s="75" t="s">
        <v>15</v>
      </c>
      <c r="B762" s="49">
        <f>C762*1.67</f>
        <v>33.4</v>
      </c>
      <c r="C762" s="5">
        <v>20</v>
      </c>
      <c r="D762" s="42"/>
      <c r="E762" s="121"/>
      <c r="F762" s="121"/>
      <c r="G762" s="121"/>
      <c r="H762" s="62"/>
      <c r="I762" s="444"/>
      <c r="J762" s="13"/>
      <c r="K762" s="13"/>
      <c r="L762" s="13"/>
      <c r="M762" s="8" t="s">
        <v>36</v>
      </c>
      <c r="N762" s="13"/>
      <c r="O762" s="13"/>
    </row>
    <row r="763" spans="1:14" s="13" customFormat="1" ht="27.75" customHeight="1">
      <c r="A763" s="75" t="s">
        <v>18</v>
      </c>
      <c r="B763" s="49">
        <f>C763*1.19</f>
        <v>15.469999999999999</v>
      </c>
      <c r="C763" s="50">
        <v>13</v>
      </c>
      <c r="D763" s="50"/>
      <c r="E763" s="144"/>
      <c r="F763" s="144"/>
      <c r="G763" s="144"/>
      <c r="H763" s="185"/>
      <c r="I763" s="444"/>
      <c r="M763" s="8" t="s">
        <v>82</v>
      </c>
      <c r="N763" s="88"/>
    </row>
    <row r="764" spans="1:15" s="13" customFormat="1" ht="27.75" customHeight="1">
      <c r="A764" s="124" t="s">
        <v>109</v>
      </c>
      <c r="B764" s="185">
        <v>8</v>
      </c>
      <c r="C764" s="5">
        <v>8</v>
      </c>
      <c r="D764" s="42"/>
      <c r="E764" s="43"/>
      <c r="F764" s="43"/>
      <c r="G764" s="43"/>
      <c r="H764" s="160"/>
      <c r="I764" s="449"/>
      <c r="J764" s="88"/>
      <c r="L764" s="88"/>
      <c r="M764" s="8" t="s">
        <v>54</v>
      </c>
      <c r="O764" s="88"/>
    </row>
    <row r="765" spans="1:15" s="13" customFormat="1" ht="27.75" customHeight="1">
      <c r="A765" s="124" t="s">
        <v>172</v>
      </c>
      <c r="B765" s="185">
        <v>8</v>
      </c>
      <c r="C765" s="5">
        <v>8</v>
      </c>
      <c r="D765" s="42"/>
      <c r="E765" s="43"/>
      <c r="F765" s="43"/>
      <c r="G765" s="43"/>
      <c r="H765" s="160"/>
      <c r="I765" s="449"/>
      <c r="J765" s="142"/>
      <c r="L765" s="142"/>
      <c r="M765" s="13" t="s">
        <v>258</v>
      </c>
      <c r="O765" s="142"/>
    </row>
    <row r="766" spans="1:17" s="13" customFormat="1" ht="27.75" customHeight="1">
      <c r="A766" s="75" t="s">
        <v>11</v>
      </c>
      <c r="B766" s="51">
        <v>3</v>
      </c>
      <c r="C766" s="51">
        <v>3</v>
      </c>
      <c r="D766" s="50"/>
      <c r="E766" s="144"/>
      <c r="F766" s="144"/>
      <c r="G766" s="144"/>
      <c r="H766" s="185"/>
      <c r="I766" s="444"/>
      <c r="J766" s="88"/>
      <c r="M766" s="7" t="s">
        <v>37</v>
      </c>
      <c r="N766" s="13">
        <f>B803</f>
        <v>2</v>
      </c>
      <c r="O766" s="88"/>
      <c r="P766" s="88"/>
      <c r="Q766" s="88"/>
    </row>
    <row r="767" spans="1:14" s="13" customFormat="1" ht="27.75" customHeight="1">
      <c r="A767" s="534" t="s">
        <v>389</v>
      </c>
      <c r="B767" s="534"/>
      <c r="C767" s="534"/>
      <c r="D767" s="53">
        <v>180</v>
      </c>
      <c r="E767" s="63">
        <v>5.64</v>
      </c>
      <c r="F767" s="63">
        <v>5.76</v>
      </c>
      <c r="G767" s="61">
        <v>24.720000000000002</v>
      </c>
      <c r="H767" s="62">
        <f>G767*4+F767*9+E767*4</f>
        <v>173.28</v>
      </c>
      <c r="I767" s="444" t="s">
        <v>390</v>
      </c>
      <c r="M767" s="7" t="s">
        <v>38</v>
      </c>
      <c r="N767" s="24"/>
    </row>
    <row r="768" spans="1:14" s="13" customFormat="1" ht="27.75" customHeight="1">
      <c r="A768" s="75" t="s">
        <v>105</v>
      </c>
      <c r="B768" s="51">
        <v>45</v>
      </c>
      <c r="C768" s="51">
        <v>45</v>
      </c>
      <c r="D768" s="50"/>
      <c r="E768" s="122"/>
      <c r="F768" s="122"/>
      <c r="G768" s="122"/>
      <c r="H768" s="185"/>
      <c r="I768" s="443"/>
      <c r="M768" s="8" t="s">
        <v>39</v>
      </c>
      <c r="N768" s="89">
        <f>C845</f>
        <v>72</v>
      </c>
    </row>
    <row r="769" spans="1:14" s="13" customFormat="1" ht="27.75" customHeight="1">
      <c r="A769" s="75" t="s">
        <v>84</v>
      </c>
      <c r="B769" s="51">
        <v>145</v>
      </c>
      <c r="C769" s="51">
        <v>145</v>
      </c>
      <c r="D769" s="50"/>
      <c r="E769" s="122"/>
      <c r="F769" s="122"/>
      <c r="G769" s="122"/>
      <c r="H769" s="185"/>
      <c r="I769" s="443"/>
      <c r="M769" s="8" t="s">
        <v>40</v>
      </c>
      <c r="N769" s="88"/>
    </row>
    <row r="770" spans="1:14" s="13" customFormat="1" ht="27.75" customHeight="1">
      <c r="A770" s="196" t="s">
        <v>19</v>
      </c>
      <c r="B770" s="182">
        <v>6</v>
      </c>
      <c r="C770" s="182">
        <v>6</v>
      </c>
      <c r="D770" s="122"/>
      <c r="E770" s="122"/>
      <c r="F770" s="122"/>
      <c r="G770" s="122"/>
      <c r="H770" s="185"/>
      <c r="I770" s="443"/>
      <c r="M770" s="8" t="s">
        <v>41</v>
      </c>
      <c r="N770" s="89">
        <f>C814</f>
        <v>50</v>
      </c>
    </row>
    <row r="771" spans="1:14" s="13" customFormat="1" ht="27.75" customHeight="1">
      <c r="A771" s="276" t="s">
        <v>203</v>
      </c>
      <c r="B771" s="61">
        <v>200</v>
      </c>
      <c r="C771" s="61">
        <v>200</v>
      </c>
      <c r="D771" s="61">
        <v>200</v>
      </c>
      <c r="E771" s="63">
        <v>0.5</v>
      </c>
      <c r="F771" s="63">
        <v>0.1</v>
      </c>
      <c r="G771" s="63">
        <v>28</v>
      </c>
      <c r="H771" s="62">
        <f>G771*4+F771*9+E771*4</f>
        <v>114.9</v>
      </c>
      <c r="I771" s="304" t="s">
        <v>276</v>
      </c>
      <c r="M771" s="8" t="s">
        <v>42</v>
      </c>
      <c r="N771" s="89">
        <f>B798</f>
        <v>30</v>
      </c>
    </row>
    <row r="772" spans="1:17" s="13" customFormat="1" ht="27.75" customHeight="1">
      <c r="A772" s="508" t="s">
        <v>95</v>
      </c>
      <c r="B772" s="508"/>
      <c r="C772" s="508"/>
      <c r="D772" s="508"/>
      <c r="E772" s="508"/>
      <c r="F772" s="508"/>
      <c r="G772" s="508"/>
      <c r="H772" s="508"/>
      <c r="I772" s="508"/>
      <c r="J772" s="88"/>
      <c r="M772" s="60" t="s">
        <v>106</v>
      </c>
      <c r="N772" s="200"/>
      <c r="O772" s="88"/>
      <c r="P772" s="88"/>
      <c r="Q772" s="88"/>
    </row>
    <row r="773" spans="1:17" s="13" customFormat="1" ht="27.75" customHeight="1">
      <c r="A773" s="509" t="s">
        <v>424</v>
      </c>
      <c r="B773" s="509"/>
      <c r="C773" s="509"/>
      <c r="D773" s="29">
        <v>200</v>
      </c>
      <c r="E773" s="31">
        <v>0.2</v>
      </c>
      <c r="F773" s="31">
        <v>0</v>
      </c>
      <c r="G773" s="31">
        <v>28.2</v>
      </c>
      <c r="H773" s="284">
        <f>G773*4+F773*9+E773*4</f>
        <v>113.6</v>
      </c>
      <c r="I773" s="304" t="s">
        <v>277</v>
      </c>
      <c r="J773" s="88"/>
      <c r="M773" s="8" t="s">
        <v>43</v>
      </c>
      <c r="N773" s="24">
        <f>C789</f>
        <v>159.95454545454547</v>
      </c>
      <c r="O773" s="88"/>
      <c r="P773" s="88"/>
      <c r="Q773" s="88"/>
    </row>
    <row r="774" spans="1:17" s="13" customFormat="1" ht="27.75" customHeight="1">
      <c r="A774" s="79" t="s">
        <v>194</v>
      </c>
      <c r="B774" s="71">
        <f>C774*1.14</f>
        <v>34.199999999999996</v>
      </c>
      <c r="C774" s="33">
        <v>30</v>
      </c>
      <c r="D774" s="29"/>
      <c r="E774" s="31"/>
      <c r="F774" s="31"/>
      <c r="G774" s="31"/>
      <c r="H774" s="35"/>
      <c r="I774" s="453"/>
      <c r="J774" s="88"/>
      <c r="M774" s="8" t="s">
        <v>44</v>
      </c>
      <c r="N774" s="89">
        <f>B795</f>
        <v>6</v>
      </c>
      <c r="O774" s="88"/>
      <c r="P774" s="88"/>
      <c r="Q774" s="88"/>
    </row>
    <row r="775" spans="1:17" s="13" customFormat="1" ht="27.75" customHeight="1">
      <c r="A775" s="74" t="s">
        <v>205</v>
      </c>
      <c r="B775" s="85">
        <f>C775*1.06</f>
        <v>10.600000000000001</v>
      </c>
      <c r="C775" s="33">
        <v>10</v>
      </c>
      <c r="D775" s="29"/>
      <c r="E775" s="31"/>
      <c r="F775" s="31"/>
      <c r="G775" s="31"/>
      <c r="H775" s="35"/>
      <c r="I775" s="453"/>
      <c r="J775" s="88"/>
      <c r="M775" s="8" t="s">
        <v>45</v>
      </c>
      <c r="N775" s="88">
        <f>C801</f>
        <v>30</v>
      </c>
      <c r="O775" s="88"/>
      <c r="P775" s="88"/>
      <c r="Q775" s="88"/>
    </row>
    <row r="776" spans="1:17" s="13" customFormat="1" ht="27.75" customHeight="1">
      <c r="A776" s="111" t="s">
        <v>421</v>
      </c>
      <c r="B776" s="85">
        <f>C776*1.06</f>
        <v>10.600000000000001</v>
      </c>
      <c r="C776" s="33">
        <v>10</v>
      </c>
      <c r="D776" s="113"/>
      <c r="E776" s="411"/>
      <c r="F776" s="152"/>
      <c r="G776" s="152"/>
      <c r="H776" s="163"/>
      <c r="I776" s="454"/>
      <c r="J776" s="88"/>
      <c r="M776" s="8" t="s">
        <v>46</v>
      </c>
      <c r="N776" s="89">
        <f>B796+C822</f>
        <v>9.636363636363637</v>
      </c>
      <c r="O776" s="88"/>
      <c r="P776" s="88"/>
      <c r="Q776" s="88"/>
    </row>
    <row r="777" spans="1:17" s="13" customFormat="1" ht="27.75" customHeight="1">
      <c r="A777" s="111" t="s">
        <v>422</v>
      </c>
      <c r="B777" s="85">
        <f>C777*1.11</f>
        <v>11.100000000000001</v>
      </c>
      <c r="C777" s="33">
        <v>10</v>
      </c>
      <c r="D777" s="113"/>
      <c r="E777" s="411"/>
      <c r="F777" s="152"/>
      <c r="G777" s="152"/>
      <c r="H777" s="163"/>
      <c r="I777" s="454"/>
      <c r="J777" s="88"/>
      <c r="M777" s="8" t="s">
        <v>47</v>
      </c>
      <c r="N777" s="24">
        <f>C849+C861</f>
        <v>13</v>
      </c>
      <c r="O777" s="88"/>
      <c r="P777" s="88"/>
      <c r="Q777" s="88"/>
    </row>
    <row r="778" spans="1:14" s="13" customFormat="1" ht="27.75" customHeight="1">
      <c r="A778" s="75" t="s">
        <v>4</v>
      </c>
      <c r="B778" s="33">
        <v>20</v>
      </c>
      <c r="C778" s="33">
        <v>20</v>
      </c>
      <c r="D778" s="29"/>
      <c r="E778" s="31"/>
      <c r="F778" s="31"/>
      <c r="G778" s="31"/>
      <c r="H778" s="35"/>
      <c r="I778" s="303"/>
      <c r="M778" s="8" t="s">
        <v>48</v>
      </c>
      <c r="N778" s="89">
        <f>B793</f>
        <v>6</v>
      </c>
    </row>
    <row r="779" spans="1:17" s="88" customFormat="1" ht="27.75" customHeight="1">
      <c r="A779" s="494" t="s">
        <v>20</v>
      </c>
      <c r="B779" s="181">
        <v>50</v>
      </c>
      <c r="C779" s="181">
        <v>50</v>
      </c>
      <c r="D779" s="114">
        <v>50</v>
      </c>
      <c r="E779" s="121">
        <v>2.5</v>
      </c>
      <c r="F779" s="121">
        <v>0.7000000000000001</v>
      </c>
      <c r="G779" s="121">
        <v>20.3</v>
      </c>
      <c r="H779" s="157">
        <v>94.9</v>
      </c>
      <c r="I779" s="417"/>
      <c r="J779" s="13"/>
      <c r="K779" s="13"/>
      <c r="L779" s="13"/>
      <c r="M779" s="13" t="s">
        <v>463</v>
      </c>
      <c r="N779" s="13">
        <f>C879</f>
        <v>6</v>
      </c>
      <c r="O779" s="13"/>
      <c r="P779" s="13"/>
      <c r="Q779" s="13"/>
    </row>
    <row r="780" spans="1:9" s="13" customFormat="1" ht="27.75" customHeight="1">
      <c r="A780" s="504" t="s">
        <v>100</v>
      </c>
      <c r="B780" s="504"/>
      <c r="C780" s="504"/>
      <c r="D780" s="114">
        <v>50</v>
      </c>
      <c r="E780" s="144"/>
      <c r="F780" s="144"/>
      <c r="G780" s="144"/>
      <c r="H780" s="144"/>
      <c r="I780" s="443"/>
    </row>
    <row r="781" spans="1:9" s="13" customFormat="1" ht="27.75" customHeight="1">
      <c r="A781" s="495" t="s">
        <v>27</v>
      </c>
      <c r="B781" s="122">
        <v>50</v>
      </c>
      <c r="C781" s="122">
        <v>50</v>
      </c>
      <c r="D781" s="61">
        <v>50</v>
      </c>
      <c r="E781" s="63">
        <v>1.8</v>
      </c>
      <c r="F781" s="63">
        <v>0.3</v>
      </c>
      <c r="G781" s="63">
        <v>23.5</v>
      </c>
      <c r="H781" s="62">
        <v>101.30000000000001</v>
      </c>
      <c r="I781" s="444"/>
    </row>
    <row r="782" spans="1:17" s="88" customFormat="1" ht="27.75" customHeight="1">
      <c r="A782" s="505" t="s">
        <v>24</v>
      </c>
      <c r="B782" s="505"/>
      <c r="C782" s="505"/>
      <c r="D782" s="505"/>
      <c r="E782" s="153">
        <f>+E729+E681</f>
        <v>54.040000000000006</v>
      </c>
      <c r="F782" s="153">
        <f>+F729+F681</f>
        <v>55.76</v>
      </c>
      <c r="G782" s="153">
        <f>+G729+G681</f>
        <v>217.62</v>
      </c>
      <c r="H782" s="153">
        <f>+H729+H681</f>
        <v>1583.98</v>
      </c>
      <c r="I782" s="467" t="s">
        <v>156</v>
      </c>
      <c r="J782" s="13"/>
      <c r="K782" s="13"/>
      <c r="L782" s="13"/>
      <c r="M782" s="13"/>
      <c r="N782" s="13"/>
      <c r="O782" s="13"/>
      <c r="P782" s="13"/>
      <c r="Q782" s="13"/>
    </row>
    <row r="783" spans="1:13" s="88" customFormat="1" ht="27.75" customHeight="1">
      <c r="A783" s="537" t="s">
        <v>67</v>
      </c>
      <c r="B783" s="537"/>
      <c r="C783" s="537"/>
      <c r="D783" s="537"/>
      <c r="E783" s="537"/>
      <c r="F783" s="537"/>
      <c r="G783" s="537"/>
      <c r="H783" s="537"/>
      <c r="I783" s="537"/>
      <c r="K783" s="13"/>
      <c r="L783" s="13"/>
      <c r="M783" s="13"/>
    </row>
    <row r="784" spans="1:17" s="88" customFormat="1" ht="27.75" customHeight="1">
      <c r="A784" s="515" t="s">
        <v>0</v>
      </c>
      <c r="B784" s="517" t="s">
        <v>6</v>
      </c>
      <c r="C784" s="517" t="s">
        <v>7</v>
      </c>
      <c r="D784" s="515" t="s">
        <v>5</v>
      </c>
      <c r="E784" s="515"/>
      <c r="F784" s="515"/>
      <c r="G784" s="515"/>
      <c r="H784" s="515"/>
      <c r="I784" s="515"/>
      <c r="J784" s="13"/>
      <c r="K784" s="13"/>
      <c r="L784" s="13"/>
      <c r="M784" s="13"/>
      <c r="N784" s="13"/>
      <c r="O784" s="13"/>
      <c r="P784" s="13"/>
      <c r="Q784" s="13"/>
    </row>
    <row r="785" spans="1:17" s="88" customFormat="1" ht="27.75" customHeight="1">
      <c r="A785" s="515"/>
      <c r="B785" s="517"/>
      <c r="C785" s="517"/>
      <c r="D785" s="517" t="s">
        <v>8</v>
      </c>
      <c r="E785" s="519" t="s">
        <v>1</v>
      </c>
      <c r="F785" s="519" t="s">
        <v>2</v>
      </c>
      <c r="G785" s="519" t="s">
        <v>9</v>
      </c>
      <c r="H785" s="532" t="s">
        <v>3</v>
      </c>
      <c r="I785" s="513" t="s">
        <v>245</v>
      </c>
      <c r="J785" s="13"/>
      <c r="K785" s="13"/>
      <c r="L785" s="13"/>
      <c r="M785" s="13"/>
      <c r="N785" s="13"/>
      <c r="O785" s="13"/>
      <c r="P785" s="13"/>
      <c r="Q785" s="13"/>
    </row>
    <row r="786" spans="1:13" s="88" customFormat="1" ht="27.75" customHeight="1">
      <c r="A786" s="515"/>
      <c r="B786" s="517"/>
      <c r="C786" s="517"/>
      <c r="D786" s="517"/>
      <c r="E786" s="519"/>
      <c r="F786" s="519"/>
      <c r="G786" s="519"/>
      <c r="H786" s="532"/>
      <c r="I786" s="513"/>
      <c r="K786" s="13"/>
      <c r="L786" s="13"/>
      <c r="M786" s="13"/>
    </row>
    <row r="787" spans="1:17" s="88" customFormat="1" ht="27.75" customHeight="1">
      <c r="A787" s="507" t="s">
        <v>132</v>
      </c>
      <c r="B787" s="507"/>
      <c r="C787" s="507"/>
      <c r="D787" s="184">
        <f>D788+60+207+D806</f>
        <v>617</v>
      </c>
      <c r="E787" s="133">
        <f>E788+E799+E802++E806</f>
        <v>32.8</v>
      </c>
      <c r="F787" s="133">
        <f>F788+F799+F802++F806</f>
        <v>31.22</v>
      </c>
      <c r="G787" s="133">
        <f>G788+G799+G802++G806</f>
        <v>63.199999999999996</v>
      </c>
      <c r="H787" s="133">
        <f>H788+H799+H802++H806</f>
        <v>664.98</v>
      </c>
      <c r="I787" s="451"/>
      <c r="J787" s="13"/>
      <c r="K787" s="13"/>
      <c r="L787" s="13"/>
      <c r="M787" s="13"/>
      <c r="N787" s="13"/>
      <c r="O787" s="13"/>
      <c r="P787" s="13"/>
      <c r="Q787" s="13"/>
    </row>
    <row r="788" spans="1:9" s="13" customFormat="1" ht="27.75" customHeight="1">
      <c r="A788" s="553" t="s">
        <v>391</v>
      </c>
      <c r="B788" s="553"/>
      <c r="C788" s="553"/>
      <c r="D788" s="107">
        <v>200</v>
      </c>
      <c r="E788" s="108">
        <v>25.2</v>
      </c>
      <c r="F788" s="108">
        <v>23.1</v>
      </c>
      <c r="G788" s="108">
        <v>23.2</v>
      </c>
      <c r="H788" s="62">
        <f>G788*4+F788*9+E788*4</f>
        <v>401.5</v>
      </c>
      <c r="I788" s="476" t="s">
        <v>392</v>
      </c>
    </row>
    <row r="789" spans="1:9" s="13" customFormat="1" ht="27.75" customHeight="1">
      <c r="A789" s="124" t="s">
        <v>25</v>
      </c>
      <c r="B789" s="128">
        <v>160.72727272727272</v>
      </c>
      <c r="C789" s="128">
        <v>159.95454545454547</v>
      </c>
      <c r="D789" s="198"/>
      <c r="E789" s="122"/>
      <c r="F789" s="122"/>
      <c r="G789" s="122"/>
      <c r="H789" s="122"/>
      <c r="I789" s="369"/>
    </row>
    <row r="790" spans="1:9" s="13" customFormat="1" ht="30" customHeight="1">
      <c r="A790" s="110" t="s">
        <v>78</v>
      </c>
      <c r="B790" s="70">
        <v>12.363636363636363</v>
      </c>
      <c r="C790" s="70">
        <v>12.363636363636363</v>
      </c>
      <c r="D790" s="198"/>
      <c r="E790" s="29"/>
      <c r="F790" s="29"/>
      <c r="G790" s="29"/>
      <c r="H790" s="219"/>
      <c r="I790" s="471"/>
    </row>
    <row r="791" spans="1:9" s="13" customFormat="1" ht="30" customHeight="1">
      <c r="A791" s="110" t="s">
        <v>83</v>
      </c>
      <c r="B791" s="70">
        <v>13.909090909090908</v>
      </c>
      <c r="C791" s="70">
        <v>13.909090909090908</v>
      </c>
      <c r="D791" s="198"/>
      <c r="E791" s="122"/>
      <c r="F791" s="122"/>
      <c r="G791" s="122"/>
      <c r="H791" s="122"/>
      <c r="I791" s="369"/>
    </row>
    <row r="792" spans="1:17" s="13" customFormat="1" ht="30" customHeight="1">
      <c r="A792" s="110" t="s">
        <v>4</v>
      </c>
      <c r="B792" s="70">
        <v>10</v>
      </c>
      <c r="C792" s="70">
        <v>10</v>
      </c>
      <c r="D792" s="198"/>
      <c r="E792" s="122"/>
      <c r="F792" s="55"/>
      <c r="G792" s="55"/>
      <c r="H792" s="51"/>
      <c r="I792" s="465"/>
      <c r="J792" s="88"/>
      <c r="N792" s="88"/>
      <c r="O792" s="88"/>
      <c r="P792" s="88"/>
      <c r="Q792" s="88"/>
    </row>
    <row r="793" spans="1:17" s="88" customFormat="1" ht="30" customHeight="1">
      <c r="A793" s="80" t="s">
        <v>109</v>
      </c>
      <c r="B793" s="68">
        <v>6</v>
      </c>
      <c r="C793" s="68">
        <v>6</v>
      </c>
      <c r="D793" s="388"/>
      <c r="E793" s="388"/>
      <c r="F793" s="151"/>
      <c r="G793" s="151"/>
      <c r="H793" s="68"/>
      <c r="I793" s="480"/>
      <c r="J793" s="13"/>
      <c r="K793" s="13"/>
      <c r="L793" s="13"/>
      <c r="M793" s="13"/>
      <c r="N793" s="13"/>
      <c r="O793" s="13"/>
      <c r="P793" s="13"/>
      <c r="Q793" s="13"/>
    </row>
    <row r="794" spans="1:13" s="88" customFormat="1" ht="30" customHeight="1">
      <c r="A794" s="110" t="s">
        <v>22</v>
      </c>
      <c r="B794" s="70">
        <v>7</v>
      </c>
      <c r="C794" s="70">
        <v>7</v>
      </c>
      <c r="D794" s="388"/>
      <c r="E794" s="388"/>
      <c r="F794" s="112"/>
      <c r="G794" s="112"/>
      <c r="H794" s="70"/>
      <c r="I794" s="481"/>
      <c r="K794" s="13"/>
      <c r="L794" s="13"/>
      <c r="M794" s="13"/>
    </row>
    <row r="795" spans="1:17" s="13" customFormat="1" ht="30" customHeight="1">
      <c r="A795" s="111" t="s">
        <v>76</v>
      </c>
      <c r="B795" s="70">
        <v>6</v>
      </c>
      <c r="C795" s="70">
        <v>6</v>
      </c>
      <c r="D795" s="388"/>
      <c r="E795" s="388"/>
      <c r="F795" s="112"/>
      <c r="G795" s="112"/>
      <c r="H795" s="70"/>
      <c r="I795" s="454"/>
      <c r="J795" s="88"/>
      <c r="N795" s="88"/>
      <c r="O795" s="88"/>
      <c r="P795" s="88"/>
      <c r="Q795" s="88"/>
    </row>
    <row r="796" spans="1:9" s="13" customFormat="1" ht="30" customHeight="1">
      <c r="A796" s="213" t="s">
        <v>126</v>
      </c>
      <c r="B796" s="128">
        <v>4.636363636363637</v>
      </c>
      <c r="C796" s="128">
        <v>4.636363636363637</v>
      </c>
      <c r="D796" s="388"/>
      <c r="E796" s="388"/>
      <c r="F796" s="150"/>
      <c r="G796" s="150"/>
      <c r="H796" s="128"/>
      <c r="I796" s="454"/>
    </row>
    <row r="797" spans="1:17" s="13" customFormat="1" ht="30" customHeight="1">
      <c r="A797" s="111" t="s">
        <v>115</v>
      </c>
      <c r="B797" s="70"/>
      <c r="C797" s="70">
        <v>170</v>
      </c>
      <c r="D797" s="388"/>
      <c r="E797" s="388"/>
      <c r="F797" s="112"/>
      <c r="G797" s="112"/>
      <c r="H797" s="70"/>
      <c r="I797" s="454"/>
      <c r="J797" s="88"/>
      <c r="N797" s="88"/>
      <c r="O797" s="88"/>
      <c r="P797" s="88"/>
      <c r="Q797" s="88"/>
    </row>
    <row r="798" spans="1:17" s="13" customFormat="1" ht="30" customHeight="1">
      <c r="A798" s="79" t="s">
        <v>107</v>
      </c>
      <c r="B798" s="50">
        <v>30</v>
      </c>
      <c r="C798" s="70">
        <v>30</v>
      </c>
      <c r="D798" s="71"/>
      <c r="E798" s="151"/>
      <c r="F798" s="112"/>
      <c r="G798" s="112"/>
      <c r="H798" s="70"/>
      <c r="I798" s="481"/>
      <c r="J798" s="88"/>
      <c r="N798" s="88"/>
      <c r="O798" s="88"/>
      <c r="P798" s="88"/>
      <c r="Q798" s="88"/>
    </row>
    <row r="799" spans="1:17" s="88" customFormat="1" ht="30" customHeight="1">
      <c r="A799" s="218" t="s">
        <v>412</v>
      </c>
      <c r="B799" s="50"/>
      <c r="C799" s="50"/>
      <c r="D799" s="47" t="s">
        <v>147</v>
      </c>
      <c r="E799" s="64">
        <v>7.1</v>
      </c>
      <c r="F799" s="64">
        <v>8.12</v>
      </c>
      <c r="G799" s="64">
        <v>16.2</v>
      </c>
      <c r="H799" s="62">
        <f>G799*4+F799*9+E799*4</f>
        <v>166.28</v>
      </c>
      <c r="I799" s="444" t="s">
        <v>413</v>
      </c>
      <c r="J799" s="13"/>
      <c r="K799" s="13"/>
      <c r="L799" s="13"/>
      <c r="M799" s="13"/>
      <c r="N799" s="13"/>
      <c r="O799" s="13"/>
      <c r="P799" s="13"/>
      <c r="Q799" s="13"/>
    </row>
    <row r="800" spans="1:13" s="88" customFormat="1" ht="30" customHeight="1">
      <c r="A800" s="75" t="s">
        <v>164</v>
      </c>
      <c r="B800" s="50">
        <v>30</v>
      </c>
      <c r="C800" s="50">
        <v>30</v>
      </c>
      <c r="D800" s="50"/>
      <c r="E800" s="144"/>
      <c r="F800" s="144"/>
      <c r="G800" s="144"/>
      <c r="H800" s="185"/>
      <c r="I800" s="443"/>
      <c r="K800" s="13"/>
      <c r="L800" s="13"/>
      <c r="M800" s="13"/>
    </row>
    <row r="801" spans="1:9" s="13" customFormat="1" ht="30" customHeight="1">
      <c r="A801" s="75" t="s">
        <v>80</v>
      </c>
      <c r="B801" s="50">
        <v>31</v>
      </c>
      <c r="C801" s="50">
        <v>30</v>
      </c>
      <c r="D801" s="50"/>
      <c r="E801" s="144"/>
      <c r="F801" s="63"/>
      <c r="G801" s="63"/>
      <c r="H801" s="62"/>
      <c r="I801" s="443"/>
    </row>
    <row r="802" spans="1:9" s="13" customFormat="1" ht="30" customHeight="1">
      <c r="A802" s="518" t="s">
        <v>304</v>
      </c>
      <c r="B802" s="518"/>
      <c r="C802" s="518"/>
      <c r="D802" s="27" t="s">
        <v>171</v>
      </c>
      <c r="E802" s="34">
        <v>0.3</v>
      </c>
      <c r="F802" s="34">
        <v>0</v>
      </c>
      <c r="G802" s="34">
        <v>15.2</v>
      </c>
      <c r="H802" s="35">
        <f>G802*4+F802*9+E802*4</f>
        <v>62</v>
      </c>
      <c r="I802" s="468" t="s">
        <v>305</v>
      </c>
    </row>
    <row r="803" spans="1:17" s="88" customFormat="1" ht="30" customHeight="1">
      <c r="A803" s="80" t="s">
        <v>26</v>
      </c>
      <c r="B803" s="50">
        <v>2</v>
      </c>
      <c r="C803" s="50">
        <v>2</v>
      </c>
      <c r="D803" s="50"/>
      <c r="E803" s="55"/>
      <c r="F803" s="55"/>
      <c r="G803" s="31"/>
      <c r="H803" s="35"/>
      <c r="I803" s="468"/>
      <c r="J803" s="13"/>
      <c r="K803" s="13"/>
      <c r="L803" s="13"/>
      <c r="M803" s="13"/>
      <c r="N803" s="13"/>
      <c r="O803" s="13"/>
      <c r="P803" s="13"/>
      <c r="Q803" s="13"/>
    </row>
    <row r="804" spans="1:17" s="88" customFormat="1" ht="30" customHeight="1">
      <c r="A804" s="75" t="s">
        <v>4</v>
      </c>
      <c r="B804" s="40">
        <v>15</v>
      </c>
      <c r="C804" s="40">
        <v>15</v>
      </c>
      <c r="D804" s="41"/>
      <c r="E804" s="146"/>
      <c r="F804" s="146"/>
      <c r="G804" s="146"/>
      <c r="H804" s="159"/>
      <c r="I804" s="448"/>
      <c r="J804" s="13"/>
      <c r="K804" s="13"/>
      <c r="L804" s="13"/>
      <c r="M804" s="13"/>
      <c r="N804" s="13"/>
      <c r="O804" s="13"/>
      <c r="P804" s="13"/>
      <c r="Q804" s="13"/>
    </row>
    <row r="805" spans="1:9" s="13" customFormat="1" ht="30" customHeight="1">
      <c r="A805" s="75" t="s">
        <v>170</v>
      </c>
      <c r="B805" s="50">
        <v>8</v>
      </c>
      <c r="C805" s="50">
        <v>7</v>
      </c>
      <c r="D805" s="50"/>
      <c r="E805" s="55"/>
      <c r="F805" s="55"/>
      <c r="G805" s="31"/>
      <c r="H805" s="35"/>
      <c r="I805" s="468"/>
    </row>
    <row r="806" spans="1:9" s="13" customFormat="1" ht="30" customHeight="1">
      <c r="A806" s="516" t="s">
        <v>271</v>
      </c>
      <c r="B806" s="516"/>
      <c r="C806" s="516"/>
      <c r="D806" s="36">
        <v>150</v>
      </c>
      <c r="E806" s="37">
        <v>0.2</v>
      </c>
      <c r="F806" s="37">
        <v>0</v>
      </c>
      <c r="G806" s="37">
        <v>8.6</v>
      </c>
      <c r="H806" s="228">
        <f>E806*4+F806*9+G806*4</f>
        <v>35.199999999999996</v>
      </c>
      <c r="I806" s="304" t="s">
        <v>272</v>
      </c>
    </row>
    <row r="807" spans="1:17" s="88" customFormat="1" ht="30" customHeight="1">
      <c r="A807" s="507" t="s">
        <v>77</v>
      </c>
      <c r="B807" s="507"/>
      <c r="C807" s="507"/>
      <c r="D807" s="184">
        <f>D808+300+D844+D875</f>
        <v>800</v>
      </c>
      <c r="E807" s="143">
        <f>E808+E813+E844+E875+E880+E882</f>
        <v>30.52</v>
      </c>
      <c r="F807" s="143">
        <f>F808+F813+F844+F875+F880+F882</f>
        <v>26.000000000000004</v>
      </c>
      <c r="G807" s="143">
        <f>G808+G813+G844+G875+G880+G882</f>
        <v>119.52000000000001</v>
      </c>
      <c r="H807" s="143">
        <f>H808+H813+H844+H875+H880+H882</f>
        <v>826.8800000000001</v>
      </c>
      <c r="I807" s="442"/>
      <c r="J807" s="13"/>
      <c r="K807" s="13"/>
      <c r="L807" s="13"/>
      <c r="M807" s="13"/>
      <c r="N807" s="13"/>
      <c r="O807" s="13"/>
      <c r="P807" s="13"/>
      <c r="Q807" s="13"/>
    </row>
    <row r="808" spans="1:17" s="88" customFormat="1" ht="30" customHeight="1">
      <c r="A808" s="509" t="s">
        <v>318</v>
      </c>
      <c r="B808" s="509"/>
      <c r="C808" s="509"/>
      <c r="D808" s="29">
        <v>100</v>
      </c>
      <c r="E808" s="31">
        <v>0.7000000000000001</v>
      </c>
      <c r="F808" s="31">
        <v>0.1</v>
      </c>
      <c r="G808" s="31">
        <v>1.9</v>
      </c>
      <c r="H808" s="31">
        <v>11.299999999999999</v>
      </c>
      <c r="I808" s="304" t="s">
        <v>319</v>
      </c>
      <c r="J808" s="13"/>
      <c r="K808" s="13"/>
      <c r="L808" s="13"/>
      <c r="M808" s="13"/>
      <c r="N808" s="13"/>
      <c r="O808" s="13"/>
      <c r="P808" s="13"/>
      <c r="Q808" s="13"/>
    </row>
    <row r="809" spans="1:9" s="13" customFormat="1" ht="30" customHeight="1">
      <c r="A809" s="130" t="s">
        <v>320</v>
      </c>
      <c r="B809" s="185">
        <f>C809*1.05</f>
        <v>105</v>
      </c>
      <c r="C809" s="122">
        <v>100</v>
      </c>
      <c r="D809" s="50"/>
      <c r="E809" s="50"/>
      <c r="F809" s="50"/>
      <c r="G809" s="50"/>
      <c r="H809" s="55"/>
      <c r="I809" s="305"/>
    </row>
    <row r="810" spans="1:9" s="13" customFormat="1" ht="30" customHeight="1">
      <c r="A810" s="130" t="s">
        <v>321</v>
      </c>
      <c r="B810" s="185">
        <f>C810*1.02</f>
        <v>102</v>
      </c>
      <c r="C810" s="122">
        <v>100</v>
      </c>
      <c r="D810" s="46"/>
      <c r="E810" s="46"/>
      <c r="F810" s="46"/>
      <c r="G810" s="46"/>
      <c r="H810" s="309"/>
      <c r="I810" s="305"/>
    </row>
    <row r="811" spans="1:9" s="13" customFormat="1" ht="30" customHeight="1">
      <c r="A811" s="508" t="s">
        <v>95</v>
      </c>
      <c r="B811" s="508"/>
      <c r="C811" s="508"/>
      <c r="D811" s="508"/>
      <c r="E811" s="508"/>
      <c r="F811" s="508"/>
      <c r="G811" s="508"/>
      <c r="H811" s="508"/>
      <c r="I811" s="508"/>
    </row>
    <row r="812" spans="1:9" s="13" customFormat="1" ht="30" customHeight="1">
      <c r="A812" s="286" t="s">
        <v>322</v>
      </c>
      <c r="B812" s="185">
        <f>C812*1.82</f>
        <v>182</v>
      </c>
      <c r="C812" s="122">
        <v>100</v>
      </c>
      <c r="D812" s="29">
        <v>100</v>
      </c>
      <c r="E812" s="31">
        <v>0.8333333333333334</v>
      </c>
      <c r="F812" s="31">
        <v>0.1</v>
      </c>
      <c r="G812" s="31">
        <v>1.6</v>
      </c>
      <c r="H812" s="31">
        <v>10.633333333333335</v>
      </c>
      <c r="I812" s="303" t="s">
        <v>323</v>
      </c>
    </row>
    <row r="813" spans="1:9" s="13" customFormat="1" ht="30" customHeight="1">
      <c r="A813" s="504" t="s">
        <v>393</v>
      </c>
      <c r="B813" s="504"/>
      <c r="C813" s="504"/>
      <c r="D813" s="29" t="s">
        <v>371</v>
      </c>
      <c r="E813" s="63">
        <v>5.6</v>
      </c>
      <c r="F813" s="63">
        <v>5.5</v>
      </c>
      <c r="G813" s="63">
        <v>18.3</v>
      </c>
      <c r="H813" s="62">
        <f>E813*4+F813*9+G813*4</f>
        <v>145.10000000000002</v>
      </c>
      <c r="I813" s="444" t="s">
        <v>394</v>
      </c>
    </row>
    <row r="814" spans="1:9" s="13" customFormat="1" ht="30" customHeight="1">
      <c r="A814" s="78" t="s">
        <v>152</v>
      </c>
      <c r="B814" s="38">
        <f>C814*1.02</f>
        <v>51</v>
      </c>
      <c r="C814" s="50">
        <v>50</v>
      </c>
      <c r="D814" s="106"/>
      <c r="E814" s="129"/>
      <c r="F814" s="121"/>
      <c r="G814" s="121"/>
      <c r="H814" s="157"/>
      <c r="I814" s="443"/>
    </row>
    <row r="815" spans="1:9" s="13" customFormat="1" ht="30" customHeight="1">
      <c r="A815" s="72" t="s">
        <v>12</v>
      </c>
      <c r="B815" s="28">
        <f>C815*1.33</f>
        <v>150.29000000000002</v>
      </c>
      <c r="C815" s="40">
        <v>113</v>
      </c>
      <c r="D815" s="52"/>
      <c r="E815" s="63"/>
      <c r="F815" s="63"/>
      <c r="G815" s="63"/>
      <c r="H815" s="62"/>
      <c r="I815" s="444"/>
    </row>
    <row r="816" spans="1:9" s="13" customFormat="1" ht="30" customHeight="1">
      <c r="A816" s="72" t="s">
        <v>13</v>
      </c>
      <c r="B816" s="28">
        <f>C816*1.43</f>
        <v>161.59</v>
      </c>
      <c r="C816" s="40">
        <v>113</v>
      </c>
      <c r="D816" s="106"/>
      <c r="E816" s="144"/>
      <c r="F816" s="121"/>
      <c r="G816" s="121"/>
      <c r="H816" s="157"/>
      <c r="I816" s="443"/>
    </row>
    <row r="817" spans="1:17" s="88" customFormat="1" ht="30" customHeight="1">
      <c r="A817" s="75" t="s">
        <v>14</v>
      </c>
      <c r="B817" s="28">
        <f>C817*1.54</f>
        <v>174.02</v>
      </c>
      <c r="C817" s="40">
        <v>113</v>
      </c>
      <c r="D817" s="106"/>
      <c r="E817" s="144"/>
      <c r="F817" s="121"/>
      <c r="G817" s="121"/>
      <c r="H817" s="157"/>
      <c r="I817" s="443"/>
      <c r="J817" s="13"/>
      <c r="K817" s="13"/>
      <c r="L817" s="13"/>
      <c r="M817" s="13"/>
      <c r="N817" s="13"/>
      <c r="O817" s="13"/>
      <c r="P817" s="13"/>
      <c r="Q817" s="13"/>
    </row>
    <row r="818" spans="1:17" s="88" customFormat="1" ht="30" customHeight="1">
      <c r="A818" s="75" t="s">
        <v>15</v>
      </c>
      <c r="B818" s="28">
        <f>C818*1.67</f>
        <v>188.70999999999998</v>
      </c>
      <c r="C818" s="40">
        <v>113</v>
      </c>
      <c r="D818" s="106"/>
      <c r="E818" s="144"/>
      <c r="F818" s="121"/>
      <c r="G818" s="121"/>
      <c r="H818" s="157"/>
      <c r="I818" s="443"/>
      <c r="J818" s="13"/>
      <c r="K818" s="13"/>
      <c r="L818" s="13"/>
      <c r="M818" s="13"/>
      <c r="N818" s="13"/>
      <c r="O818" s="13"/>
      <c r="P818" s="13"/>
      <c r="Q818" s="13"/>
    </row>
    <row r="819" spans="1:17" s="88" customFormat="1" ht="30" customHeight="1">
      <c r="A819" s="72" t="s">
        <v>81</v>
      </c>
      <c r="B819" s="54">
        <f>C819*1.25</f>
        <v>12.5</v>
      </c>
      <c r="C819" s="40">
        <v>10</v>
      </c>
      <c r="D819" s="106"/>
      <c r="E819" s="144"/>
      <c r="F819" s="121"/>
      <c r="G819" s="121"/>
      <c r="H819" s="157"/>
      <c r="I819" s="443"/>
      <c r="J819" s="13"/>
      <c r="K819" s="13"/>
      <c r="L819" s="13"/>
      <c r="M819" s="13"/>
      <c r="N819" s="13"/>
      <c r="O819" s="13"/>
      <c r="P819" s="13"/>
      <c r="Q819" s="13"/>
    </row>
    <row r="820" spans="1:17" s="88" customFormat="1" ht="30" customHeight="1">
      <c r="A820" s="72" t="s">
        <v>16</v>
      </c>
      <c r="B820" s="54">
        <f>C820*1.33</f>
        <v>13.3</v>
      </c>
      <c r="C820" s="40">
        <v>10</v>
      </c>
      <c r="D820" s="106"/>
      <c r="E820" s="144"/>
      <c r="F820" s="121"/>
      <c r="G820" s="121"/>
      <c r="H820" s="157"/>
      <c r="I820" s="443"/>
      <c r="J820" s="13"/>
      <c r="K820" s="13"/>
      <c r="L820" s="13"/>
      <c r="M820" s="13"/>
      <c r="N820" s="13"/>
      <c r="O820" s="13"/>
      <c r="P820" s="13"/>
      <c r="Q820" s="13"/>
    </row>
    <row r="821" spans="1:9" s="13" customFormat="1" ht="30" customHeight="1">
      <c r="A821" s="72" t="s">
        <v>18</v>
      </c>
      <c r="B821" s="51">
        <f>C821*1.19</f>
        <v>11.899999999999999</v>
      </c>
      <c r="C821" s="40">
        <v>10</v>
      </c>
      <c r="D821" s="106"/>
      <c r="E821" s="144"/>
      <c r="F821" s="121"/>
      <c r="G821" s="121"/>
      <c r="H821" s="157"/>
      <c r="I821" s="443"/>
    </row>
    <row r="822" spans="1:9" s="13" customFormat="1" ht="30" customHeight="1">
      <c r="A822" s="124" t="s">
        <v>19</v>
      </c>
      <c r="B822" s="185">
        <v>5</v>
      </c>
      <c r="C822" s="185">
        <v>5</v>
      </c>
      <c r="D822" s="252"/>
      <c r="E822" s="144"/>
      <c r="F822" s="121"/>
      <c r="G822" s="121"/>
      <c r="H822" s="157"/>
      <c r="I822" s="443"/>
    </row>
    <row r="823" spans="1:9" s="13" customFormat="1" ht="30" customHeight="1">
      <c r="A823" s="75" t="s">
        <v>97</v>
      </c>
      <c r="B823" s="54">
        <v>0.2</v>
      </c>
      <c r="C823" s="54">
        <v>0.2</v>
      </c>
      <c r="D823" s="42"/>
      <c r="E823" s="43"/>
      <c r="F823" s="43"/>
      <c r="G823" s="43"/>
      <c r="H823" s="160"/>
      <c r="I823" s="449"/>
    </row>
    <row r="824" spans="1:17" s="172" customFormat="1" ht="30" customHeight="1">
      <c r="A824" s="508" t="s">
        <v>95</v>
      </c>
      <c r="B824" s="508"/>
      <c r="C824" s="508"/>
      <c r="D824" s="508"/>
      <c r="E824" s="508"/>
      <c r="F824" s="508"/>
      <c r="G824" s="508"/>
      <c r="H824" s="508"/>
      <c r="I824" s="508"/>
      <c r="J824" s="13"/>
      <c r="K824" s="13"/>
      <c r="L824" s="13"/>
      <c r="M824" s="13"/>
      <c r="N824" s="13"/>
      <c r="O824" s="13"/>
      <c r="P824" s="13"/>
      <c r="Q824" s="13"/>
    </row>
    <row r="825" spans="1:17" s="88" customFormat="1" ht="30" customHeight="1">
      <c r="A825" s="546" t="s">
        <v>459</v>
      </c>
      <c r="B825" s="546"/>
      <c r="C825" s="546"/>
      <c r="D825" s="48" t="s">
        <v>86</v>
      </c>
      <c r="E825" s="63">
        <v>5.2</v>
      </c>
      <c r="F825" s="63">
        <v>4.9</v>
      </c>
      <c r="G825" s="63">
        <v>22.3</v>
      </c>
      <c r="H825" s="62">
        <f>E825*4+F825*9+G825*4</f>
        <v>154.10000000000002</v>
      </c>
      <c r="I825" s="444" t="s">
        <v>460</v>
      </c>
      <c r="J825" s="13"/>
      <c r="K825" s="13"/>
      <c r="L825" s="13"/>
      <c r="M825" s="13"/>
      <c r="N825" s="13"/>
      <c r="O825" s="13"/>
      <c r="P825" s="13"/>
      <c r="Q825" s="13"/>
    </row>
    <row r="826" spans="1:9" s="13" customFormat="1" ht="30" customHeight="1">
      <c r="A826" s="78" t="s">
        <v>136</v>
      </c>
      <c r="B826" s="381">
        <v>29</v>
      </c>
      <c r="C826" s="223">
        <v>26</v>
      </c>
      <c r="D826" s="5"/>
      <c r="E826" s="54"/>
      <c r="F826" s="144"/>
      <c r="G826" s="144"/>
      <c r="H826" s="185"/>
      <c r="I826" s="445"/>
    </row>
    <row r="827" spans="1:9" s="13" customFormat="1" ht="30" customHeight="1">
      <c r="A827" s="164" t="s">
        <v>158</v>
      </c>
      <c r="B827" s="413">
        <f>C827*1.04</f>
        <v>18.72</v>
      </c>
      <c r="C827" s="223">
        <v>18</v>
      </c>
      <c r="D827" s="235"/>
      <c r="E827" s="227"/>
      <c r="F827" s="144"/>
      <c r="G827" s="144"/>
      <c r="H827" s="228"/>
      <c r="I827" s="461"/>
    </row>
    <row r="828" spans="1:9" s="13" customFormat="1" ht="30" customHeight="1">
      <c r="A828" s="164" t="s">
        <v>160</v>
      </c>
      <c r="B828" s="413">
        <f>C828*1.048</f>
        <v>14.672</v>
      </c>
      <c r="C828" s="223">
        <v>14</v>
      </c>
      <c r="D828" s="235"/>
      <c r="E828" s="144"/>
      <c r="F828" s="144"/>
      <c r="G828" s="144"/>
      <c r="H828" s="144"/>
      <c r="I828" s="445"/>
    </row>
    <row r="829" spans="1:9" s="13" customFormat="1" ht="30" customHeight="1">
      <c r="A829" s="130" t="s">
        <v>12</v>
      </c>
      <c r="B829" s="382">
        <f>C829*1.33</f>
        <v>66.5</v>
      </c>
      <c r="C829" s="223">
        <v>50</v>
      </c>
      <c r="D829" s="235"/>
      <c r="E829" s="144"/>
      <c r="F829" s="144"/>
      <c r="G829" s="144"/>
      <c r="H829" s="144"/>
      <c r="I829" s="445"/>
    </row>
    <row r="830" spans="1:17" s="13" customFormat="1" ht="30" customHeight="1">
      <c r="A830" s="130" t="s">
        <v>13</v>
      </c>
      <c r="B830" s="382">
        <f>C830*1.43</f>
        <v>71.5</v>
      </c>
      <c r="C830" s="223">
        <v>50</v>
      </c>
      <c r="D830" s="235"/>
      <c r="E830" s="144"/>
      <c r="F830" s="144"/>
      <c r="G830" s="144"/>
      <c r="H830" s="144"/>
      <c r="I830" s="445"/>
      <c r="J830" s="88"/>
      <c r="M830" s="88"/>
      <c r="N830" s="88"/>
      <c r="O830" s="88"/>
      <c r="P830" s="88"/>
      <c r="Q830" s="88"/>
    </row>
    <row r="831" spans="1:17" s="13" customFormat="1" ht="30" customHeight="1">
      <c r="A831" s="130" t="s">
        <v>14</v>
      </c>
      <c r="B831" s="382">
        <f>C831*1.54</f>
        <v>77</v>
      </c>
      <c r="C831" s="223">
        <v>50</v>
      </c>
      <c r="D831" s="235"/>
      <c r="E831" s="144"/>
      <c r="F831" s="144"/>
      <c r="G831" s="144"/>
      <c r="H831" s="144"/>
      <c r="I831" s="445"/>
      <c r="J831" s="88"/>
      <c r="M831" s="88"/>
      <c r="N831" s="88"/>
      <c r="O831" s="88"/>
      <c r="P831" s="88"/>
      <c r="Q831" s="88"/>
    </row>
    <row r="832" spans="1:9" s="13" customFormat="1" ht="30" customHeight="1">
      <c r="A832" s="79" t="s">
        <v>15</v>
      </c>
      <c r="B832" s="382">
        <f>C832*1.67</f>
        <v>83.5</v>
      </c>
      <c r="C832" s="223">
        <v>50</v>
      </c>
      <c r="D832" s="235"/>
      <c r="E832" s="144"/>
      <c r="F832" s="144"/>
      <c r="G832" s="144"/>
      <c r="H832" s="144"/>
      <c r="I832" s="445"/>
    </row>
    <row r="833" spans="1:17" s="13" customFormat="1" ht="30" customHeight="1">
      <c r="A833" s="80" t="s">
        <v>81</v>
      </c>
      <c r="B833" s="383">
        <f>C833*1.25</f>
        <v>12.5</v>
      </c>
      <c r="C833" s="275">
        <v>10</v>
      </c>
      <c r="D833" s="106"/>
      <c r="E833" s="144"/>
      <c r="F833" s="144"/>
      <c r="G833" s="129"/>
      <c r="H833" s="263"/>
      <c r="I833" s="221"/>
      <c r="J833" s="88"/>
      <c r="M833" s="88"/>
      <c r="N833" s="88"/>
      <c r="O833" s="88"/>
      <c r="P833" s="88"/>
      <c r="Q833" s="88"/>
    </row>
    <row r="834" spans="1:17" s="88" customFormat="1" ht="30" customHeight="1">
      <c r="A834" s="80" t="s">
        <v>16</v>
      </c>
      <c r="B834" s="383">
        <f>C834*1.33</f>
        <v>13.3</v>
      </c>
      <c r="C834" s="275">
        <v>10</v>
      </c>
      <c r="D834" s="106"/>
      <c r="E834" s="144"/>
      <c r="F834" s="144"/>
      <c r="G834" s="129"/>
      <c r="H834" s="263"/>
      <c r="I834" s="221"/>
      <c r="J834" s="173"/>
      <c r="K834" s="13"/>
      <c r="L834" s="13"/>
      <c r="M834" s="13"/>
      <c r="N834" s="173"/>
      <c r="O834" s="173"/>
      <c r="P834" s="173"/>
      <c r="Q834" s="173"/>
    </row>
    <row r="835" spans="1:12" s="88" customFormat="1" ht="30" customHeight="1">
      <c r="A835" s="80" t="s">
        <v>18</v>
      </c>
      <c r="B835" s="126">
        <f>C835*1.19</f>
        <v>11.899999999999999</v>
      </c>
      <c r="C835" s="275">
        <v>10</v>
      </c>
      <c r="D835" s="106"/>
      <c r="E835" s="144"/>
      <c r="F835" s="144"/>
      <c r="G835" s="129"/>
      <c r="H835" s="263"/>
      <c r="I835" s="221"/>
      <c r="K835" s="13"/>
      <c r="L835" s="13"/>
    </row>
    <row r="836" spans="1:17" s="13" customFormat="1" ht="30" customHeight="1">
      <c r="A836" s="253" t="s">
        <v>461</v>
      </c>
      <c r="B836" s="126"/>
      <c r="C836" s="158">
        <v>60</v>
      </c>
      <c r="D836" s="106"/>
      <c r="E836" s="144"/>
      <c r="F836" s="144"/>
      <c r="G836" s="129"/>
      <c r="H836" s="263"/>
      <c r="I836" s="221"/>
      <c r="J836" s="88"/>
      <c r="M836" s="88"/>
      <c r="N836" s="88"/>
      <c r="O836" s="88"/>
      <c r="P836" s="88"/>
      <c r="Q836" s="88"/>
    </row>
    <row r="837" spans="1:17" s="13" customFormat="1" ht="30" customHeight="1">
      <c r="A837" s="80" t="s">
        <v>21</v>
      </c>
      <c r="B837" s="126">
        <v>19</v>
      </c>
      <c r="C837" s="275">
        <v>19</v>
      </c>
      <c r="D837" s="106"/>
      <c r="E837" s="144"/>
      <c r="F837" s="144"/>
      <c r="G837" s="129"/>
      <c r="H837" s="263"/>
      <c r="I837" s="221"/>
      <c r="J837" s="88"/>
      <c r="M837" s="88"/>
      <c r="N837" s="88"/>
      <c r="O837" s="88"/>
      <c r="P837" s="88"/>
      <c r="Q837" s="88"/>
    </row>
    <row r="838" spans="1:12" s="88" customFormat="1" ht="30" customHeight="1">
      <c r="A838" s="80" t="s">
        <v>19</v>
      </c>
      <c r="B838" s="384">
        <v>1.5</v>
      </c>
      <c r="C838" s="275">
        <v>1.5</v>
      </c>
      <c r="D838" s="106"/>
      <c r="E838" s="144"/>
      <c r="F838" s="144"/>
      <c r="G838" s="129"/>
      <c r="H838" s="263"/>
      <c r="I838" s="221"/>
      <c r="K838" s="13"/>
      <c r="L838" s="13"/>
    </row>
    <row r="839" spans="1:13" s="88" customFormat="1" ht="30" customHeight="1">
      <c r="A839" s="80" t="s">
        <v>109</v>
      </c>
      <c r="B839" s="126">
        <v>6</v>
      </c>
      <c r="C839" s="275">
        <v>6</v>
      </c>
      <c r="D839" s="106"/>
      <c r="E839" s="144"/>
      <c r="F839" s="144"/>
      <c r="G839" s="129"/>
      <c r="H839" s="263"/>
      <c r="I839" s="221"/>
      <c r="K839" s="13"/>
      <c r="L839" s="13"/>
      <c r="M839" s="13"/>
    </row>
    <row r="840" spans="1:17" s="13" customFormat="1" ht="30" customHeight="1">
      <c r="A840" s="80" t="s">
        <v>70</v>
      </c>
      <c r="B840" s="126">
        <v>29</v>
      </c>
      <c r="C840" s="275">
        <v>29</v>
      </c>
      <c r="D840" s="106"/>
      <c r="E840" s="144"/>
      <c r="F840" s="144"/>
      <c r="G840" s="129"/>
      <c r="H840" s="263"/>
      <c r="I840" s="221"/>
      <c r="J840" s="88"/>
      <c r="N840" s="88"/>
      <c r="O840" s="88"/>
      <c r="P840" s="88"/>
      <c r="Q840" s="88"/>
    </row>
    <row r="841" spans="1:17" s="13" customFormat="1" ht="30" customHeight="1">
      <c r="A841" s="80" t="s">
        <v>71</v>
      </c>
      <c r="B841" s="384">
        <v>0.6</v>
      </c>
      <c r="C841" s="275">
        <v>0.6</v>
      </c>
      <c r="D841" s="106"/>
      <c r="E841" s="144"/>
      <c r="F841" s="144"/>
      <c r="G841" s="129"/>
      <c r="H841" s="263"/>
      <c r="I841" s="221"/>
      <c r="J841" s="88"/>
      <c r="N841" s="88"/>
      <c r="O841" s="88"/>
      <c r="P841" s="88"/>
      <c r="Q841" s="88"/>
    </row>
    <row r="842" spans="1:17" s="13" customFormat="1" ht="30" customHeight="1">
      <c r="A842" s="130" t="s">
        <v>19</v>
      </c>
      <c r="B842" s="382">
        <v>5</v>
      </c>
      <c r="C842" s="382">
        <v>5</v>
      </c>
      <c r="D842" s="122"/>
      <c r="E842" s="144"/>
      <c r="F842" s="144"/>
      <c r="G842" s="129"/>
      <c r="H842" s="263"/>
      <c r="I842" s="221"/>
      <c r="J842" s="88"/>
      <c r="N842" s="88"/>
      <c r="O842" s="88"/>
      <c r="P842" s="88"/>
      <c r="Q842" s="88"/>
    </row>
    <row r="843" spans="1:9" s="13" customFormat="1" ht="30" customHeight="1">
      <c r="A843" s="79" t="s">
        <v>97</v>
      </c>
      <c r="B843" s="383">
        <v>0.2</v>
      </c>
      <c r="C843" s="383">
        <v>0.2</v>
      </c>
      <c r="D843" s="42"/>
      <c r="E843" s="43"/>
      <c r="F843" s="43"/>
      <c r="G843" s="43"/>
      <c r="H843" s="160"/>
      <c r="I843" s="470"/>
    </row>
    <row r="844" spans="1:17" s="13" customFormat="1" ht="30" customHeight="1">
      <c r="A844" s="504" t="s">
        <v>395</v>
      </c>
      <c r="B844" s="504"/>
      <c r="C844" s="504"/>
      <c r="D844" s="61">
        <v>200</v>
      </c>
      <c r="E844" s="63">
        <v>18</v>
      </c>
      <c r="F844" s="63">
        <v>18.9</v>
      </c>
      <c r="G844" s="63">
        <v>16.5</v>
      </c>
      <c r="H844" s="62">
        <f>E844*4+F844*9+G844*4</f>
        <v>308.1</v>
      </c>
      <c r="I844" s="444" t="s">
        <v>396</v>
      </c>
      <c r="J844" s="88"/>
      <c r="N844" s="88"/>
      <c r="O844" s="88"/>
      <c r="P844" s="88"/>
      <c r="Q844" s="88"/>
    </row>
    <row r="845" spans="1:9" s="13" customFormat="1" ht="30" customHeight="1">
      <c r="A845" s="73" t="s">
        <v>159</v>
      </c>
      <c r="B845" s="38">
        <v>81</v>
      </c>
      <c r="C845" s="51">
        <v>72</v>
      </c>
      <c r="D845" s="5"/>
      <c r="E845" s="144"/>
      <c r="F845" s="144"/>
      <c r="G845" s="144"/>
      <c r="H845" s="185"/>
      <c r="I845" s="443"/>
    </row>
    <row r="846" spans="1:9" s="13" customFormat="1" ht="30" customHeight="1">
      <c r="A846" s="164" t="s">
        <v>187</v>
      </c>
      <c r="B846" s="38">
        <f>C846*1.054</f>
        <v>75.888</v>
      </c>
      <c r="C846" s="40">
        <v>72</v>
      </c>
      <c r="D846" s="5"/>
      <c r="E846" s="144"/>
      <c r="F846" s="144"/>
      <c r="G846" s="144"/>
      <c r="H846" s="185"/>
      <c r="I846" s="443"/>
    </row>
    <row r="847" spans="1:17" s="13" customFormat="1" ht="30" customHeight="1">
      <c r="A847" s="73" t="s">
        <v>116</v>
      </c>
      <c r="B847" s="38"/>
      <c r="C847" s="51">
        <v>50</v>
      </c>
      <c r="D847" s="5"/>
      <c r="E847" s="144"/>
      <c r="F847" s="144"/>
      <c r="G847" s="144"/>
      <c r="H847" s="185"/>
      <c r="I847" s="443"/>
      <c r="J847" s="90"/>
      <c r="O847" s="88"/>
      <c r="P847" s="88"/>
      <c r="Q847" s="88"/>
    </row>
    <row r="848" spans="1:9" s="13" customFormat="1" ht="30" customHeight="1">
      <c r="A848" s="164" t="s">
        <v>160</v>
      </c>
      <c r="B848" s="38">
        <f>C848*1.048</f>
        <v>64.976</v>
      </c>
      <c r="C848" s="40">
        <v>62</v>
      </c>
      <c r="D848" s="5"/>
      <c r="E848" s="144"/>
      <c r="F848" s="129"/>
      <c r="G848" s="129"/>
      <c r="H848" s="263"/>
      <c r="I848" s="443"/>
    </row>
    <row r="849" spans="1:17" s="13" customFormat="1" ht="30" customHeight="1">
      <c r="A849" s="74" t="s">
        <v>11</v>
      </c>
      <c r="B849" s="51">
        <v>3</v>
      </c>
      <c r="C849" s="49">
        <v>3</v>
      </c>
      <c r="D849" s="5"/>
      <c r="E849" s="144"/>
      <c r="F849" s="144"/>
      <c r="G849" s="144"/>
      <c r="H849" s="185"/>
      <c r="I849" s="443"/>
      <c r="J849" s="88"/>
      <c r="O849" s="88"/>
      <c r="P849" s="88"/>
      <c r="Q849" s="88"/>
    </row>
    <row r="850" spans="1:17" s="13" customFormat="1" ht="30" customHeight="1">
      <c r="A850" s="124" t="s">
        <v>117</v>
      </c>
      <c r="B850" s="185"/>
      <c r="C850" s="51">
        <v>50</v>
      </c>
      <c r="D850" s="5"/>
      <c r="E850" s="144"/>
      <c r="F850" s="129"/>
      <c r="G850" s="129"/>
      <c r="H850" s="263"/>
      <c r="I850" s="443"/>
      <c r="J850" s="88"/>
      <c r="O850" s="88"/>
      <c r="P850" s="88"/>
      <c r="Q850" s="88"/>
    </row>
    <row r="851" spans="1:17" s="13" customFormat="1" ht="30" customHeight="1">
      <c r="A851" s="72" t="s">
        <v>12</v>
      </c>
      <c r="B851" s="49">
        <f>C851*1.33</f>
        <v>106.4</v>
      </c>
      <c r="C851" s="49">
        <v>80</v>
      </c>
      <c r="D851" s="5"/>
      <c r="E851" s="144"/>
      <c r="F851" s="144"/>
      <c r="G851" s="144"/>
      <c r="H851" s="185"/>
      <c r="I851" s="443"/>
      <c r="J851" s="88"/>
      <c r="O851" s="90"/>
      <c r="P851" s="90"/>
      <c r="Q851" s="90"/>
    </row>
    <row r="852" spans="1:11" s="88" customFormat="1" ht="30" customHeight="1">
      <c r="A852" s="72" t="s">
        <v>13</v>
      </c>
      <c r="B852" s="49">
        <f>C852*1.43</f>
        <v>114.39999999999999</v>
      </c>
      <c r="C852" s="49">
        <v>80</v>
      </c>
      <c r="D852" s="5"/>
      <c r="E852" s="144"/>
      <c r="F852" s="144"/>
      <c r="G852" s="144"/>
      <c r="H852" s="185"/>
      <c r="I852" s="443"/>
      <c r="K852" s="13"/>
    </row>
    <row r="853" spans="1:9" s="13" customFormat="1" ht="30" customHeight="1">
      <c r="A853" s="75" t="s">
        <v>14</v>
      </c>
      <c r="B853" s="49">
        <f>C853*1.54</f>
        <v>123.2</v>
      </c>
      <c r="C853" s="49">
        <v>80</v>
      </c>
      <c r="D853" s="5"/>
      <c r="E853" s="144"/>
      <c r="F853" s="144"/>
      <c r="G853" s="144"/>
      <c r="H853" s="185"/>
      <c r="I853" s="443"/>
    </row>
    <row r="854" spans="1:9" s="13" customFormat="1" ht="30" customHeight="1">
      <c r="A854" s="75" t="s">
        <v>15</v>
      </c>
      <c r="B854" s="49">
        <f>C854*1.67</f>
        <v>133.6</v>
      </c>
      <c r="C854" s="49">
        <v>80</v>
      </c>
      <c r="D854" s="5"/>
      <c r="E854" s="144"/>
      <c r="F854" s="144"/>
      <c r="G854" s="144"/>
      <c r="H854" s="185"/>
      <c r="I854" s="443"/>
    </row>
    <row r="855" spans="1:9" s="13" customFormat="1" ht="30" customHeight="1">
      <c r="A855" s="72" t="s">
        <v>81</v>
      </c>
      <c r="B855" s="49">
        <f>C855*1.25</f>
        <v>42.5</v>
      </c>
      <c r="C855" s="49">
        <v>34</v>
      </c>
      <c r="D855" s="5"/>
      <c r="E855" s="144"/>
      <c r="F855" s="144"/>
      <c r="G855" s="144"/>
      <c r="H855" s="185"/>
      <c r="I855" s="443"/>
    </row>
    <row r="856" spans="1:9" s="13" customFormat="1" ht="30" customHeight="1">
      <c r="A856" s="72" t="s">
        <v>16</v>
      </c>
      <c r="B856" s="49">
        <f>C856*1.33</f>
        <v>45.22</v>
      </c>
      <c r="C856" s="49">
        <v>34</v>
      </c>
      <c r="D856" s="5"/>
      <c r="E856" s="144"/>
      <c r="F856" s="144"/>
      <c r="G856" s="144"/>
      <c r="H856" s="185"/>
      <c r="I856" s="443"/>
    </row>
    <row r="857" spans="1:9" s="13" customFormat="1" ht="30" customHeight="1">
      <c r="A857" s="72" t="s">
        <v>18</v>
      </c>
      <c r="B857" s="51">
        <f>C857*1.19</f>
        <v>22.61</v>
      </c>
      <c r="C857" s="49">
        <v>19</v>
      </c>
      <c r="D857" s="5"/>
      <c r="E857" s="144"/>
      <c r="F857" s="144"/>
      <c r="G857" s="144"/>
      <c r="H857" s="185"/>
      <c r="I857" s="443"/>
    </row>
    <row r="858" spans="1:9" s="13" customFormat="1" ht="30" customHeight="1">
      <c r="A858" s="80" t="s">
        <v>72</v>
      </c>
      <c r="B858" s="5">
        <v>10</v>
      </c>
      <c r="C858" s="49">
        <v>10</v>
      </c>
      <c r="D858" s="5"/>
      <c r="E858" s="144"/>
      <c r="F858" s="144"/>
      <c r="G858" s="144"/>
      <c r="H858" s="185"/>
      <c r="I858" s="443"/>
    </row>
    <row r="859" spans="1:9" s="13" customFormat="1" ht="30" customHeight="1">
      <c r="A859" s="130" t="s">
        <v>102</v>
      </c>
      <c r="B859" s="55">
        <f>C859*1.02</f>
        <v>22.44</v>
      </c>
      <c r="C859" s="83">
        <v>22</v>
      </c>
      <c r="D859" s="199"/>
      <c r="E859" s="61"/>
      <c r="F859" s="61"/>
      <c r="G859" s="61"/>
      <c r="H859" s="61"/>
      <c r="I859" s="450"/>
    </row>
    <row r="860" spans="1:17" s="172" customFormat="1" ht="30" customHeight="1">
      <c r="A860" s="75" t="s">
        <v>125</v>
      </c>
      <c r="B860" s="51">
        <f>C860*1.18</f>
        <v>25.959999999999997</v>
      </c>
      <c r="C860" s="83">
        <v>22</v>
      </c>
      <c r="D860" s="199"/>
      <c r="E860" s="61"/>
      <c r="F860" s="61"/>
      <c r="G860" s="61"/>
      <c r="H860" s="61"/>
      <c r="I860" s="450"/>
      <c r="J860" s="13"/>
      <c r="K860" s="13"/>
      <c r="O860" s="13"/>
      <c r="P860" s="13"/>
      <c r="Q860" s="13"/>
    </row>
    <row r="861" spans="1:11" s="13" customFormat="1" ht="30" customHeight="1">
      <c r="A861" s="72" t="s">
        <v>11</v>
      </c>
      <c r="B861" s="5">
        <v>10</v>
      </c>
      <c r="C861" s="49">
        <v>10</v>
      </c>
      <c r="D861" s="5"/>
      <c r="E861" s="144"/>
      <c r="F861" s="144"/>
      <c r="G861" s="144"/>
      <c r="H861" s="144"/>
      <c r="I861" s="443"/>
      <c r="K861" s="20"/>
    </row>
    <row r="862" spans="1:11" s="13" customFormat="1" ht="30" customHeight="1">
      <c r="A862" s="508" t="s">
        <v>95</v>
      </c>
      <c r="B862" s="508"/>
      <c r="C862" s="508"/>
      <c r="D862" s="508"/>
      <c r="E862" s="508"/>
      <c r="F862" s="508"/>
      <c r="G862" s="508"/>
      <c r="H862" s="508"/>
      <c r="I862" s="508"/>
      <c r="K862" s="244"/>
    </row>
    <row r="863" spans="1:11" s="13" customFormat="1" ht="30" customHeight="1">
      <c r="A863" s="504" t="s">
        <v>397</v>
      </c>
      <c r="B863" s="504"/>
      <c r="C863" s="504"/>
      <c r="D863" s="61">
        <v>200</v>
      </c>
      <c r="E863" s="63">
        <v>16.2</v>
      </c>
      <c r="F863" s="63">
        <v>17.2</v>
      </c>
      <c r="G863" s="63">
        <v>16.5</v>
      </c>
      <c r="H863" s="62">
        <f>E863*4+F863*9+G863*4</f>
        <v>285.59999999999997</v>
      </c>
      <c r="I863" s="444" t="s">
        <v>398</v>
      </c>
      <c r="K863" s="244"/>
    </row>
    <row r="864" spans="1:11" s="13" customFormat="1" ht="30" customHeight="1">
      <c r="A864" s="73" t="s">
        <v>111</v>
      </c>
      <c r="B864" s="38">
        <f>C864*1.36</f>
        <v>107.44000000000001</v>
      </c>
      <c r="C864" s="51">
        <v>79</v>
      </c>
      <c r="D864" s="5"/>
      <c r="E864" s="144"/>
      <c r="F864" s="144"/>
      <c r="G864" s="144"/>
      <c r="H864" s="144"/>
      <c r="I864" s="443"/>
      <c r="K864" s="245"/>
    </row>
    <row r="865" spans="1:11" s="13" customFormat="1" ht="30" customHeight="1">
      <c r="A865" s="73" t="s">
        <v>112</v>
      </c>
      <c r="B865" s="38">
        <f>C865*1.18</f>
        <v>93.22</v>
      </c>
      <c r="C865" s="5">
        <f>C864</f>
        <v>79</v>
      </c>
      <c r="D865" s="5"/>
      <c r="E865" s="144"/>
      <c r="F865" s="144"/>
      <c r="G865" s="144"/>
      <c r="H865" s="185"/>
      <c r="I865" s="443"/>
      <c r="K865" s="246"/>
    </row>
    <row r="866" spans="1:17" s="88" customFormat="1" ht="30" customHeight="1">
      <c r="A866" s="74" t="s">
        <v>11</v>
      </c>
      <c r="B866" s="51">
        <v>3</v>
      </c>
      <c r="C866" s="49">
        <v>3</v>
      </c>
      <c r="D866" s="5"/>
      <c r="E866" s="144"/>
      <c r="F866" s="144"/>
      <c r="G866" s="144"/>
      <c r="H866" s="185"/>
      <c r="I866" s="443"/>
      <c r="J866" s="13"/>
      <c r="K866" s="246"/>
      <c r="O866" s="13"/>
      <c r="P866" s="13"/>
      <c r="Q866" s="13"/>
    </row>
    <row r="867" spans="1:11" s="13" customFormat="1" ht="30" customHeight="1">
      <c r="A867" s="124" t="s">
        <v>121</v>
      </c>
      <c r="B867" s="185"/>
      <c r="C867" s="185">
        <v>50</v>
      </c>
      <c r="D867" s="122"/>
      <c r="E867" s="144"/>
      <c r="F867" s="129"/>
      <c r="G867" s="129"/>
      <c r="H867" s="263"/>
      <c r="I867" s="443"/>
      <c r="K867" s="245"/>
    </row>
    <row r="868" spans="1:11" s="13" customFormat="1" ht="30" customHeight="1">
      <c r="A868" s="72" t="s">
        <v>12</v>
      </c>
      <c r="B868" s="49">
        <f>C868*1.33</f>
        <v>159.60000000000002</v>
      </c>
      <c r="C868" s="49">
        <v>120</v>
      </c>
      <c r="D868" s="5"/>
      <c r="E868" s="144"/>
      <c r="F868" s="144"/>
      <c r="G868" s="144"/>
      <c r="H868" s="185"/>
      <c r="I868" s="443"/>
      <c r="K868" s="244"/>
    </row>
    <row r="869" spans="1:17" s="13" customFormat="1" ht="30" customHeight="1">
      <c r="A869" s="72" t="s">
        <v>13</v>
      </c>
      <c r="B869" s="49">
        <f>C869*1.43</f>
        <v>171.6</v>
      </c>
      <c r="C869" s="49">
        <v>120</v>
      </c>
      <c r="D869" s="5"/>
      <c r="E869" s="144"/>
      <c r="F869" s="144"/>
      <c r="G869" s="144"/>
      <c r="H869" s="185"/>
      <c r="I869" s="443"/>
      <c r="J869" s="88"/>
      <c r="K869" s="244"/>
      <c r="O869" s="88"/>
      <c r="P869" s="88"/>
      <c r="Q869" s="88"/>
    </row>
    <row r="870" spans="1:17" s="88" customFormat="1" ht="30" customHeight="1">
      <c r="A870" s="75" t="s">
        <v>14</v>
      </c>
      <c r="B870" s="49">
        <f>C870*1.54</f>
        <v>184.8</v>
      </c>
      <c r="C870" s="49">
        <v>120</v>
      </c>
      <c r="D870" s="5"/>
      <c r="E870" s="144"/>
      <c r="F870" s="144"/>
      <c r="G870" s="144"/>
      <c r="H870" s="185"/>
      <c r="I870" s="443"/>
      <c r="J870" s="13"/>
      <c r="K870" s="245"/>
      <c r="O870" s="13"/>
      <c r="P870" s="13"/>
      <c r="Q870" s="13"/>
    </row>
    <row r="871" spans="1:17" s="88" customFormat="1" ht="30" customHeight="1">
      <c r="A871" s="75" t="s">
        <v>15</v>
      </c>
      <c r="B871" s="49">
        <f>C871*1.67</f>
        <v>200.39999999999998</v>
      </c>
      <c r="C871" s="49">
        <v>120</v>
      </c>
      <c r="D871" s="5"/>
      <c r="E871" s="144"/>
      <c r="F871" s="144"/>
      <c r="G871" s="144"/>
      <c r="H871" s="185"/>
      <c r="I871" s="443"/>
      <c r="J871" s="13"/>
      <c r="K871" s="245"/>
      <c r="O871" s="13"/>
      <c r="P871" s="13"/>
      <c r="Q871" s="13"/>
    </row>
    <row r="872" spans="1:11" s="88" customFormat="1" ht="30" customHeight="1">
      <c r="A872" s="72" t="s">
        <v>18</v>
      </c>
      <c r="B872" s="51">
        <f>C872*1.19</f>
        <v>17.849999999999998</v>
      </c>
      <c r="C872" s="49">
        <v>15</v>
      </c>
      <c r="D872" s="5"/>
      <c r="E872" s="144"/>
      <c r="F872" s="144"/>
      <c r="G872" s="144"/>
      <c r="H872" s="185"/>
      <c r="I872" s="443"/>
      <c r="K872" s="245"/>
    </row>
    <row r="873" spans="1:11" s="88" customFormat="1" ht="30" customHeight="1">
      <c r="A873" s="80" t="s">
        <v>72</v>
      </c>
      <c r="B873" s="5">
        <v>8</v>
      </c>
      <c r="C873" s="49">
        <v>8</v>
      </c>
      <c r="D873" s="5"/>
      <c r="E873" s="144"/>
      <c r="F873" s="144"/>
      <c r="G873" s="144"/>
      <c r="H873" s="185"/>
      <c r="I873" s="443"/>
      <c r="K873" s="245"/>
    </row>
    <row r="874" spans="1:17" s="13" customFormat="1" ht="30" customHeight="1">
      <c r="A874" s="72" t="s">
        <v>11</v>
      </c>
      <c r="B874" s="5">
        <v>10</v>
      </c>
      <c r="C874" s="49">
        <v>10</v>
      </c>
      <c r="D874" s="5"/>
      <c r="E874" s="144"/>
      <c r="F874" s="144"/>
      <c r="G874" s="144"/>
      <c r="H874" s="144"/>
      <c r="I874" s="443"/>
      <c r="J874" s="88"/>
      <c r="K874" s="245"/>
      <c r="O874" s="88"/>
      <c r="P874" s="88"/>
      <c r="Q874" s="88"/>
    </row>
    <row r="875" spans="1:13" s="88" customFormat="1" ht="30" customHeight="1">
      <c r="A875" s="506" t="s">
        <v>434</v>
      </c>
      <c r="B875" s="506"/>
      <c r="C875" s="506"/>
      <c r="D875" s="109">
        <v>200</v>
      </c>
      <c r="E875" s="108">
        <v>0.2</v>
      </c>
      <c r="F875" s="108">
        <v>0.1</v>
      </c>
      <c r="G875" s="108">
        <v>21.5</v>
      </c>
      <c r="H875" s="62">
        <f>G875*4+F875*9+E875*4</f>
        <v>87.7</v>
      </c>
      <c r="I875" s="302" t="s">
        <v>435</v>
      </c>
      <c r="K875" s="245"/>
      <c r="L875" s="13"/>
      <c r="M875" s="13"/>
    </row>
    <row r="876" spans="1:11" s="88" customFormat="1" ht="30" customHeight="1">
      <c r="A876" s="79" t="s">
        <v>477</v>
      </c>
      <c r="B876" s="151">
        <f>C876*1.06</f>
        <v>25.44</v>
      </c>
      <c r="C876" s="71">
        <v>24</v>
      </c>
      <c r="D876" s="113"/>
      <c r="E876" s="152"/>
      <c r="F876" s="152"/>
      <c r="G876" s="152"/>
      <c r="H876" s="163"/>
      <c r="I876" s="454"/>
      <c r="K876" s="244"/>
    </row>
    <row r="877" spans="1:11" s="88" customFormat="1" ht="30" customHeight="1">
      <c r="A877" s="79" t="s">
        <v>421</v>
      </c>
      <c r="B877" s="151">
        <f>C877*1.06</f>
        <v>25.44</v>
      </c>
      <c r="C877" s="71">
        <v>24</v>
      </c>
      <c r="D877" s="113"/>
      <c r="E877" s="152"/>
      <c r="F877" s="152"/>
      <c r="G877" s="152"/>
      <c r="H877" s="163"/>
      <c r="I877" s="454"/>
      <c r="K877" s="244"/>
    </row>
    <row r="878" spans="1:11" s="13" customFormat="1" ht="30" customHeight="1">
      <c r="A878" s="75" t="s">
        <v>4</v>
      </c>
      <c r="B878" s="50">
        <v>15</v>
      </c>
      <c r="C878" s="50">
        <v>15</v>
      </c>
      <c r="D878" s="50"/>
      <c r="E878" s="55"/>
      <c r="F878" s="55"/>
      <c r="G878" s="55"/>
      <c r="H878" s="55"/>
      <c r="I878" s="465"/>
      <c r="K878" s="245"/>
    </row>
    <row r="879" spans="1:17" s="88" customFormat="1" ht="30" customHeight="1">
      <c r="A879" s="75" t="s">
        <v>436</v>
      </c>
      <c r="B879" s="71">
        <v>6</v>
      </c>
      <c r="C879" s="71">
        <v>6</v>
      </c>
      <c r="D879" s="113"/>
      <c r="E879" s="152"/>
      <c r="F879" s="152"/>
      <c r="G879" s="152"/>
      <c r="H879" s="163"/>
      <c r="I879" s="454"/>
      <c r="J879" s="13"/>
      <c r="K879" s="245"/>
      <c r="N879" s="13"/>
      <c r="O879" s="13"/>
      <c r="P879" s="13"/>
      <c r="Q879" s="13"/>
    </row>
    <row r="880" spans="1:17" s="88" customFormat="1" ht="30" customHeight="1">
      <c r="A880" s="494" t="s">
        <v>20</v>
      </c>
      <c r="B880" s="181">
        <v>70</v>
      </c>
      <c r="C880" s="181">
        <v>70</v>
      </c>
      <c r="D880" s="114">
        <v>70</v>
      </c>
      <c r="E880" s="121">
        <v>3.5</v>
      </c>
      <c r="F880" s="121">
        <v>0.9800000000000002</v>
      </c>
      <c r="G880" s="121">
        <v>28.42</v>
      </c>
      <c r="H880" s="157">
        <v>132.85999999999999</v>
      </c>
      <c r="I880" s="417"/>
      <c r="J880" s="13"/>
      <c r="K880" s="247"/>
      <c r="N880" s="13"/>
      <c r="O880" s="13"/>
      <c r="P880" s="13"/>
      <c r="Q880" s="13"/>
    </row>
    <row r="881" spans="1:12" s="13" customFormat="1" ht="30" customHeight="1">
      <c r="A881" s="504" t="s">
        <v>100</v>
      </c>
      <c r="B881" s="504"/>
      <c r="C881" s="504"/>
      <c r="D881" s="114">
        <v>70</v>
      </c>
      <c r="E881" s="144"/>
      <c r="F881" s="144"/>
      <c r="G881" s="144"/>
      <c r="H881" s="144"/>
      <c r="I881" s="443"/>
      <c r="K881" s="245"/>
      <c r="L881" s="175"/>
    </row>
    <row r="882" spans="1:12" s="13" customFormat="1" ht="30" customHeight="1">
      <c r="A882" s="495" t="s">
        <v>27</v>
      </c>
      <c r="B882" s="122">
        <v>70</v>
      </c>
      <c r="C882" s="122">
        <v>70</v>
      </c>
      <c r="D882" s="61">
        <v>70</v>
      </c>
      <c r="E882" s="63">
        <v>2.5200000000000005</v>
      </c>
      <c r="F882" s="63">
        <v>0.42</v>
      </c>
      <c r="G882" s="63">
        <v>32.9</v>
      </c>
      <c r="H882" s="62">
        <v>141.82000000000002</v>
      </c>
      <c r="I882" s="444"/>
      <c r="K882" s="245"/>
      <c r="L882" s="20"/>
    </row>
    <row r="883" spans="1:17" s="13" customFormat="1" ht="30" customHeight="1">
      <c r="A883" s="505" t="s">
        <v>24</v>
      </c>
      <c r="B883" s="505"/>
      <c r="C883" s="505"/>
      <c r="D883" s="505"/>
      <c r="E883" s="153">
        <f>+E807+E787</f>
        <v>63.31999999999999</v>
      </c>
      <c r="F883" s="153">
        <f>+F807+F787</f>
        <v>57.22</v>
      </c>
      <c r="G883" s="153">
        <f>+G807+G787</f>
        <v>182.72</v>
      </c>
      <c r="H883" s="153">
        <f>+H807+H787</f>
        <v>1491.8600000000001</v>
      </c>
      <c r="I883" s="467"/>
      <c r="J883" s="88"/>
      <c r="K883" s="245"/>
      <c r="L883" s="175"/>
      <c r="N883" s="88"/>
      <c r="O883" s="88"/>
      <c r="P883" s="88"/>
      <c r="Q883" s="88"/>
    </row>
    <row r="884" spans="1:17" s="13" customFormat="1" ht="30" customHeight="1">
      <c r="A884" s="540" t="s">
        <v>416</v>
      </c>
      <c r="B884" s="540"/>
      <c r="C884" s="540"/>
      <c r="D884" s="540"/>
      <c r="E884" s="540"/>
      <c r="F884" s="540"/>
      <c r="G884" s="540"/>
      <c r="H884" s="540"/>
      <c r="I884" s="540"/>
      <c r="J884" s="88"/>
      <c r="K884" s="244"/>
      <c r="L884" s="440"/>
      <c r="N884" s="88"/>
      <c r="O884" s="88"/>
      <c r="P884" s="88"/>
      <c r="Q884" s="88"/>
    </row>
    <row r="885" spans="1:12" s="13" customFormat="1" ht="30" customHeight="1">
      <c r="A885" s="515" t="s">
        <v>0</v>
      </c>
      <c r="B885" s="517" t="s">
        <v>6</v>
      </c>
      <c r="C885" s="517" t="s">
        <v>7</v>
      </c>
      <c r="D885" s="515" t="s">
        <v>5</v>
      </c>
      <c r="E885" s="515"/>
      <c r="F885" s="515"/>
      <c r="G885" s="515"/>
      <c r="H885" s="515"/>
      <c r="I885" s="515"/>
      <c r="K885" s="244"/>
      <c r="L885" s="20"/>
    </row>
    <row r="886" spans="1:12" s="13" customFormat="1" ht="30" customHeight="1">
      <c r="A886" s="515"/>
      <c r="B886" s="517"/>
      <c r="C886" s="517"/>
      <c r="D886" s="517" t="s">
        <v>8</v>
      </c>
      <c r="E886" s="519" t="s">
        <v>1</v>
      </c>
      <c r="F886" s="519" t="s">
        <v>2</v>
      </c>
      <c r="G886" s="519" t="s">
        <v>9</v>
      </c>
      <c r="H886" s="532" t="s">
        <v>3</v>
      </c>
      <c r="I886" s="513" t="s">
        <v>245</v>
      </c>
      <c r="K886" s="245"/>
      <c r="L886" s="175"/>
    </row>
    <row r="887" spans="1:12" s="13" customFormat="1" ht="30" customHeight="1">
      <c r="A887" s="515"/>
      <c r="B887" s="517"/>
      <c r="C887" s="517"/>
      <c r="D887" s="517"/>
      <c r="E887" s="519"/>
      <c r="F887" s="519"/>
      <c r="G887" s="519"/>
      <c r="H887" s="532"/>
      <c r="I887" s="513"/>
      <c r="K887" s="245"/>
      <c r="L887" s="175"/>
    </row>
    <row r="888" spans="1:12" s="13" customFormat="1" ht="30" customHeight="1">
      <c r="A888" s="507" t="s">
        <v>132</v>
      </c>
      <c r="B888" s="507"/>
      <c r="C888" s="507"/>
      <c r="D888" s="156">
        <f>D925+105+D915+D929+D932</f>
        <v>695</v>
      </c>
      <c r="E888" s="133">
        <f>E925+E889+E915+E929+E932+E933+E935</f>
        <v>19.499999999999996</v>
      </c>
      <c r="F888" s="133">
        <f>F925+F889+F915+F929+F932+F933+F935</f>
        <v>26.299999999999997</v>
      </c>
      <c r="G888" s="133">
        <f>G925+G889+G915+G929+G932+G933+G935</f>
        <v>81</v>
      </c>
      <c r="H888" s="133">
        <f>H925+H889+H915+H929+H932+H933+H935</f>
        <v>642.4000000000001</v>
      </c>
      <c r="I888" s="451"/>
      <c r="K888" s="245"/>
      <c r="L888" s="175"/>
    </row>
    <row r="889" spans="1:13" s="88" customFormat="1" ht="30" customHeight="1">
      <c r="A889" s="509" t="s">
        <v>400</v>
      </c>
      <c r="B889" s="509"/>
      <c r="C889" s="509"/>
      <c r="D889" s="29" t="s">
        <v>49</v>
      </c>
      <c r="E889" s="63">
        <v>13.1</v>
      </c>
      <c r="F889" s="63">
        <v>15.4</v>
      </c>
      <c r="G889" s="63">
        <v>9</v>
      </c>
      <c r="H889" s="62">
        <f>E889*4+F889*9+G889*4</f>
        <v>227</v>
      </c>
      <c r="I889" s="303" t="s">
        <v>399</v>
      </c>
      <c r="J889" s="105"/>
      <c r="K889" s="13"/>
      <c r="L889" s="13"/>
      <c r="M889" s="13"/>
    </row>
    <row r="890" spans="1:17" s="13" customFormat="1" ht="30" customHeight="1">
      <c r="A890" s="78" t="s">
        <v>181</v>
      </c>
      <c r="B890" s="38">
        <f>C890*1.35</f>
        <v>110.7</v>
      </c>
      <c r="C890" s="185">
        <v>82</v>
      </c>
      <c r="D890" s="106"/>
      <c r="E890" s="147"/>
      <c r="F890" s="147"/>
      <c r="G890" s="147"/>
      <c r="H890" s="251"/>
      <c r="I890" s="443"/>
      <c r="J890" s="88"/>
      <c r="N890" s="88"/>
      <c r="O890" s="88"/>
      <c r="P890" s="88"/>
      <c r="Q890" s="88"/>
    </row>
    <row r="891" spans="1:9" s="13" customFormat="1" ht="30" customHeight="1">
      <c r="A891" s="164" t="s">
        <v>200</v>
      </c>
      <c r="B891" s="258">
        <f>C891*1.5</f>
        <v>123</v>
      </c>
      <c r="C891" s="185">
        <v>82</v>
      </c>
      <c r="D891" s="106"/>
      <c r="E891" s="144"/>
      <c r="F891" s="144"/>
      <c r="G891" s="144"/>
      <c r="H891" s="122"/>
      <c r="I891" s="443"/>
    </row>
    <row r="892" spans="1:9" s="13" customFormat="1" ht="30" customHeight="1">
      <c r="A892" s="164" t="s">
        <v>180</v>
      </c>
      <c r="B892" s="258">
        <f>C892*1.82</f>
        <v>149.24</v>
      </c>
      <c r="C892" s="185">
        <v>82</v>
      </c>
      <c r="D892" s="106"/>
      <c r="E892" s="144"/>
      <c r="F892" s="144"/>
      <c r="G892" s="144"/>
      <c r="H892" s="122"/>
      <c r="I892" s="443"/>
    </row>
    <row r="893" spans="1:17" s="13" customFormat="1" ht="30" customHeight="1">
      <c r="A893" s="130" t="s">
        <v>10</v>
      </c>
      <c r="B893" s="185">
        <v>7</v>
      </c>
      <c r="C893" s="185">
        <v>7</v>
      </c>
      <c r="D893" s="106"/>
      <c r="E893" s="147"/>
      <c r="F893" s="147"/>
      <c r="G893" s="147"/>
      <c r="H893" s="147"/>
      <c r="I893" s="443"/>
      <c r="J893" s="88"/>
      <c r="N893" s="88"/>
      <c r="O893" s="88"/>
      <c r="P893" s="88"/>
      <c r="Q893" s="88"/>
    </row>
    <row r="894" spans="1:17" s="13" customFormat="1" ht="30" customHeight="1">
      <c r="A894" s="75" t="s">
        <v>155</v>
      </c>
      <c r="B894" s="40">
        <v>1.2</v>
      </c>
      <c r="C894" s="39">
        <v>1</v>
      </c>
      <c r="D894" s="129"/>
      <c r="E894" s="147"/>
      <c r="F894" s="129"/>
      <c r="G894" s="129"/>
      <c r="H894" s="252"/>
      <c r="I894" s="443"/>
      <c r="J894" s="88"/>
      <c r="N894" s="88"/>
      <c r="O894" s="88"/>
      <c r="P894" s="88"/>
      <c r="Q894" s="88"/>
    </row>
    <row r="895" spans="1:17" s="88" customFormat="1" ht="30" customHeight="1">
      <c r="A895" s="75" t="s">
        <v>84</v>
      </c>
      <c r="B895" s="40">
        <v>5</v>
      </c>
      <c r="C895" s="39">
        <v>5</v>
      </c>
      <c r="D895" s="129"/>
      <c r="E895" s="147"/>
      <c r="F895" s="129"/>
      <c r="G895" s="129"/>
      <c r="H895" s="252"/>
      <c r="I895" s="443"/>
      <c r="J895" s="13"/>
      <c r="K895" s="13"/>
      <c r="L895" s="13"/>
      <c r="M895" s="13"/>
      <c r="N895" s="13"/>
      <c r="O895" s="13"/>
      <c r="P895" s="13"/>
      <c r="Q895" s="13"/>
    </row>
    <row r="896" spans="1:17" s="88" customFormat="1" ht="30" customHeight="1">
      <c r="A896" s="75" t="s">
        <v>18</v>
      </c>
      <c r="B896" s="51">
        <f>C896*1.19</f>
        <v>10.709999999999999</v>
      </c>
      <c r="C896" s="51">
        <v>9</v>
      </c>
      <c r="D896" s="129"/>
      <c r="E896" s="147"/>
      <c r="F896" s="129"/>
      <c r="G896" s="129"/>
      <c r="H896" s="252"/>
      <c r="I896" s="443"/>
      <c r="J896" s="13"/>
      <c r="K896" s="13"/>
      <c r="L896" s="13"/>
      <c r="M896" s="13"/>
      <c r="N896" s="13"/>
      <c r="O896" s="13"/>
      <c r="P896" s="13"/>
      <c r="Q896" s="13"/>
    </row>
    <row r="897" spans="1:13" s="88" customFormat="1" ht="30" customHeight="1">
      <c r="A897" s="75" t="s">
        <v>151</v>
      </c>
      <c r="B897" s="55">
        <f>C897*1.28</f>
        <v>1.28</v>
      </c>
      <c r="C897" s="51">
        <v>1</v>
      </c>
      <c r="D897" s="129"/>
      <c r="E897" s="147"/>
      <c r="F897" s="129"/>
      <c r="G897" s="129"/>
      <c r="H897" s="252"/>
      <c r="I897" s="443"/>
      <c r="K897" s="13"/>
      <c r="L897" s="13"/>
      <c r="M897" s="13"/>
    </row>
    <row r="898" spans="1:13" s="88" customFormat="1" ht="30" customHeight="1">
      <c r="A898" s="75" t="s">
        <v>19</v>
      </c>
      <c r="B898" s="51">
        <v>10</v>
      </c>
      <c r="C898" s="51">
        <v>10</v>
      </c>
      <c r="D898" s="129"/>
      <c r="E898" s="147"/>
      <c r="F898" s="129"/>
      <c r="G898" s="129"/>
      <c r="H898" s="252"/>
      <c r="I898" s="443"/>
      <c r="K898" s="13"/>
      <c r="L898" s="13"/>
      <c r="M898" s="13"/>
    </row>
    <row r="899" spans="1:18" s="88" customFormat="1" ht="30" customHeight="1">
      <c r="A899" s="75" t="s">
        <v>109</v>
      </c>
      <c r="B899" s="50">
        <v>5</v>
      </c>
      <c r="C899" s="51">
        <v>5</v>
      </c>
      <c r="D899" s="129"/>
      <c r="E899" s="147"/>
      <c r="F899" s="129"/>
      <c r="G899" s="129"/>
      <c r="H899" s="252"/>
      <c r="I899" s="443"/>
      <c r="J899" s="13"/>
      <c r="K899" s="13"/>
      <c r="L899" s="20"/>
      <c r="M899" s="20"/>
      <c r="N899" s="20"/>
      <c r="O899" s="20"/>
      <c r="P899" s="20"/>
      <c r="Q899" s="20"/>
      <c r="R899" s="97"/>
    </row>
    <row r="900" spans="1:18" s="88" customFormat="1" ht="30" customHeight="1">
      <c r="A900" s="75" t="s">
        <v>22</v>
      </c>
      <c r="B900" s="50">
        <v>10</v>
      </c>
      <c r="C900" s="51">
        <v>10</v>
      </c>
      <c r="D900" s="129"/>
      <c r="E900" s="147"/>
      <c r="F900" s="129"/>
      <c r="G900" s="129"/>
      <c r="H900" s="252"/>
      <c r="I900" s="443"/>
      <c r="J900" s="13"/>
      <c r="K900" s="13"/>
      <c r="L900" s="321"/>
      <c r="M900" s="321"/>
      <c r="N900" s="556"/>
      <c r="O900" s="556"/>
      <c r="P900" s="557"/>
      <c r="Q900" s="558"/>
      <c r="R900" s="558"/>
    </row>
    <row r="901" spans="1:18" s="13" customFormat="1" ht="30" customHeight="1">
      <c r="A901" s="75" t="s">
        <v>11</v>
      </c>
      <c r="B901" s="50">
        <v>3</v>
      </c>
      <c r="C901" s="51">
        <v>3</v>
      </c>
      <c r="D901" s="129"/>
      <c r="E901" s="147"/>
      <c r="F901" s="129"/>
      <c r="G901" s="129"/>
      <c r="H901" s="252"/>
      <c r="I901" s="443"/>
      <c r="L901" s="322"/>
      <c r="M901" s="322"/>
      <c r="N901" s="559"/>
      <c r="O901" s="559"/>
      <c r="P901" s="556"/>
      <c r="Q901" s="558"/>
      <c r="R901" s="558"/>
    </row>
    <row r="902" spans="1:18" s="13" customFormat="1" ht="30" customHeight="1">
      <c r="A902" s="75" t="s">
        <v>19</v>
      </c>
      <c r="B902" s="50">
        <v>5</v>
      </c>
      <c r="C902" s="50">
        <v>5</v>
      </c>
      <c r="D902" s="52"/>
      <c r="E902" s="147"/>
      <c r="F902" s="129"/>
      <c r="G902" s="129"/>
      <c r="H902" s="252"/>
      <c r="I902" s="443"/>
      <c r="L902" s="321"/>
      <c r="M902" s="321"/>
      <c r="N902" s="556"/>
      <c r="O902" s="556"/>
      <c r="P902" s="556"/>
      <c r="Q902" s="556"/>
      <c r="R902" s="556"/>
    </row>
    <row r="903" spans="1:19" s="13" customFormat="1" ht="30" customHeight="1">
      <c r="A903" s="508" t="s">
        <v>95</v>
      </c>
      <c r="B903" s="508"/>
      <c r="C903" s="508"/>
      <c r="D903" s="508"/>
      <c r="E903" s="508"/>
      <c r="F903" s="508"/>
      <c r="G903" s="508"/>
      <c r="H903" s="508"/>
      <c r="I903" s="508"/>
      <c r="L903" s="323"/>
      <c r="M903" s="323"/>
      <c r="N903" s="560"/>
      <c r="O903" s="560"/>
      <c r="P903" s="560"/>
      <c r="Q903" s="560"/>
      <c r="R903" s="560"/>
      <c r="S903" s="20"/>
    </row>
    <row r="904" spans="1:19" s="13" customFormat="1" ht="30" customHeight="1">
      <c r="A904" s="509" t="s">
        <v>489</v>
      </c>
      <c r="B904" s="509"/>
      <c r="C904" s="509"/>
      <c r="D904" s="61" t="s">
        <v>49</v>
      </c>
      <c r="E904" s="63">
        <v>12.7</v>
      </c>
      <c r="F904" s="63">
        <v>14</v>
      </c>
      <c r="G904" s="63">
        <v>3.8</v>
      </c>
      <c r="H904" s="186">
        <f>E904*4+F904*9+G904*4</f>
        <v>192</v>
      </c>
      <c r="I904" s="482" t="s">
        <v>433</v>
      </c>
      <c r="N904" s="20"/>
      <c r="O904" s="20"/>
      <c r="P904" s="324"/>
      <c r="Q904" s="325"/>
      <c r="R904" s="326"/>
      <c r="S904" s="20"/>
    </row>
    <row r="905" spans="1:19" s="13" customFormat="1" ht="30" customHeight="1">
      <c r="A905" s="164" t="s">
        <v>483</v>
      </c>
      <c r="B905" s="413">
        <f>C905*1.43</f>
        <v>84.36999999999999</v>
      </c>
      <c r="C905" s="126">
        <v>59</v>
      </c>
      <c r="D905" s="51"/>
      <c r="E905" s="55"/>
      <c r="F905" s="55"/>
      <c r="G905" s="55"/>
      <c r="H905" s="55"/>
      <c r="I905" s="473"/>
      <c r="N905" s="20"/>
      <c r="O905" s="20"/>
      <c r="P905" s="324"/>
      <c r="Q905" s="327"/>
      <c r="R905" s="328"/>
      <c r="S905" s="20"/>
    </row>
    <row r="906" spans="1:19" s="13" customFormat="1" ht="30" customHeight="1">
      <c r="A906" s="164" t="s">
        <v>464</v>
      </c>
      <c r="B906" s="413">
        <f>C906*1.72</f>
        <v>101.48</v>
      </c>
      <c r="C906" s="126">
        <v>59</v>
      </c>
      <c r="D906" s="51"/>
      <c r="E906" s="55"/>
      <c r="F906" s="55"/>
      <c r="G906" s="55"/>
      <c r="H906" s="55"/>
      <c r="I906" s="473"/>
      <c r="N906" s="20"/>
      <c r="O906" s="20"/>
      <c r="P906" s="324"/>
      <c r="Q906" s="327"/>
      <c r="R906" s="328"/>
      <c r="S906" s="20"/>
    </row>
    <row r="907" spans="1:19" s="88" customFormat="1" ht="30" customHeight="1">
      <c r="A907" s="164" t="s">
        <v>465</v>
      </c>
      <c r="B907" s="413">
        <f>C907*1.35</f>
        <v>79.65</v>
      </c>
      <c r="C907" s="126">
        <v>59</v>
      </c>
      <c r="D907" s="51"/>
      <c r="E907" s="31"/>
      <c r="F907" s="31"/>
      <c r="G907" s="31"/>
      <c r="H907" s="35"/>
      <c r="I907" s="387"/>
      <c r="K907" s="13"/>
      <c r="N907" s="97"/>
      <c r="O907" s="97"/>
      <c r="P907" s="324"/>
      <c r="Q907" s="327"/>
      <c r="R907" s="328"/>
      <c r="S907" s="97"/>
    </row>
    <row r="908" spans="1:19" s="13" customFormat="1" ht="30" customHeight="1">
      <c r="A908" s="164" t="s">
        <v>466</v>
      </c>
      <c r="B908" s="413">
        <f>C908*1.17</f>
        <v>53.81999999999999</v>
      </c>
      <c r="C908" s="126">
        <v>46</v>
      </c>
      <c r="D908" s="51"/>
      <c r="E908" s="55"/>
      <c r="F908" s="144"/>
      <c r="G908" s="144"/>
      <c r="H908" s="185"/>
      <c r="I908" s="483"/>
      <c r="J908" s="88"/>
      <c r="N908" s="97"/>
      <c r="O908" s="97"/>
      <c r="P908" s="324"/>
      <c r="Q908" s="329"/>
      <c r="R908" s="330"/>
      <c r="S908" s="20"/>
    </row>
    <row r="909" spans="1:19" s="13" customFormat="1" ht="28.5" customHeight="1">
      <c r="A909" s="79" t="s">
        <v>18</v>
      </c>
      <c r="B909" s="126">
        <f>C909*1.19</f>
        <v>10.709999999999999</v>
      </c>
      <c r="C909" s="126">
        <v>9</v>
      </c>
      <c r="D909" s="51"/>
      <c r="E909" s="55"/>
      <c r="F909" s="124"/>
      <c r="G909" s="122"/>
      <c r="H909" s="122"/>
      <c r="I909" s="484"/>
      <c r="J909" s="88"/>
      <c r="N909" s="97"/>
      <c r="O909" s="97"/>
      <c r="P909" s="324"/>
      <c r="Q909" s="327"/>
      <c r="R909" s="328"/>
      <c r="S909" s="20"/>
    </row>
    <row r="910" spans="1:19" s="13" customFormat="1" ht="28.5" customHeight="1">
      <c r="A910" s="79" t="s">
        <v>70</v>
      </c>
      <c r="B910" s="83">
        <v>6</v>
      </c>
      <c r="C910" s="83">
        <v>6</v>
      </c>
      <c r="D910" s="51"/>
      <c r="E910" s="55"/>
      <c r="F910" s="75"/>
      <c r="G910" s="51"/>
      <c r="H910" s="51"/>
      <c r="I910" s="485"/>
      <c r="J910" s="88"/>
      <c r="N910" s="97"/>
      <c r="O910" s="97"/>
      <c r="P910" s="324"/>
      <c r="Q910" s="331"/>
      <c r="R910" s="332"/>
      <c r="S910" s="20"/>
    </row>
    <row r="911" spans="1:19" s="13" customFormat="1" ht="28.5" customHeight="1">
      <c r="A911" s="79" t="s">
        <v>109</v>
      </c>
      <c r="B911" s="126">
        <v>9</v>
      </c>
      <c r="C911" s="126">
        <v>9</v>
      </c>
      <c r="D911" s="51"/>
      <c r="E911" s="55"/>
      <c r="F911" s="75"/>
      <c r="G911" s="51"/>
      <c r="H911" s="51"/>
      <c r="I911" s="484"/>
      <c r="N911" s="20"/>
      <c r="O911" s="20"/>
      <c r="P911" s="324"/>
      <c r="Q911" s="325"/>
      <c r="R911" s="326"/>
      <c r="S911" s="20"/>
    </row>
    <row r="912" spans="1:19" s="13" customFormat="1" ht="28.5" customHeight="1">
      <c r="A912" s="79" t="s">
        <v>21</v>
      </c>
      <c r="B912" s="126">
        <v>5</v>
      </c>
      <c r="C912" s="126">
        <v>5</v>
      </c>
      <c r="D912" s="51"/>
      <c r="E912" s="144"/>
      <c r="F912" s="144"/>
      <c r="G912" s="144"/>
      <c r="H912" s="185"/>
      <c r="I912" s="221"/>
      <c r="N912" s="20"/>
      <c r="O912" s="20"/>
      <c r="P912" s="324"/>
      <c r="Q912" s="325"/>
      <c r="R912" s="326"/>
      <c r="S912" s="20"/>
    </row>
    <row r="913" spans="1:19" s="13" customFormat="1" ht="28.5" customHeight="1">
      <c r="A913" s="79" t="s">
        <v>11</v>
      </c>
      <c r="B913" s="126">
        <v>3</v>
      </c>
      <c r="C913" s="126">
        <v>3</v>
      </c>
      <c r="D913" s="51"/>
      <c r="E913" s="144"/>
      <c r="F913" s="144"/>
      <c r="G913" s="63"/>
      <c r="H913" s="62"/>
      <c r="I913" s="445"/>
      <c r="N913" s="20"/>
      <c r="O913" s="20"/>
      <c r="P913" s="324"/>
      <c r="Q913" s="325"/>
      <c r="R913" s="326"/>
      <c r="S913" s="20"/>
    </row>
    <row r="914" spans="1:19" s="13" customFormat="1" ht="28.5" customHeight="1">
      <c r="A914" s="130" t="s">
        <v>19</v>
      </c>
      <c r="B914" s="424">
        <v>5</v>
      </c>
      <c r="C914" s="424">
        <v>5</v>
      </c>
      <c r="D914" s="51"/>
      <c r="E914" s="144"/>
      <c r="F914" s="144"/>
      <c r="G914" s="144"/>
      <c r="H914" s="185"/>
      <c r="I914" s="445"/>
      <c r="J914" s="172"/>
      <c r="N914" s="441"/>
      <c r="O914" s="441"/>
      <c r="P914" s="554"/>
      <c r="Q914" s="554"/>
      <c r="R914" s="333"/>
      <c r="S914" s="20"/>
    </row>
    <row r="915" spans="1:19" s="13" customFormat="1" ht="28.5" customHeight="1">
      <c r="A915" s="534" t="s">
        <v>403</v>
      </c>
      <c r="B915" s="534"/>
      <c r="C915" s="534"/>
      <c r="D915" s="53">
        <v>180</v>
      </c>
      <c r="E915" s="121">
        <v>3.8</v>
      </c>
      <c r="F915" s="121">
        <v>10.3</v>
      </c>
      <c r="G915" s="121">
        <v>31</v>
      </c>
      <c r="H915" s="62">
        <f>G915*4+F915*9+E915*4</f>
        <v>231.89999999999998</v>
      </c>
      <c r="I915" s="417" t="s">
        <v>404</v>
      </c>
      <c r="J915" s="88"/>
      <c r="N915" s="97"/>
      <c r="O915" s="97"/>
      <c r="P915" s="324"/>
      <c r="Q915" s="325"/>
      <c r="R915" s="334"/>
      <c r="S915" s="20"/>
    </row>
    <row r="916" spans="1:19" s="13" customFormat="1" ht="28.5" customHeight="1">
      <c r="A916" s="75" t="s">
        <v>12</v>
      </c>
      <c r="B916" s="51">
        <f>C916*1.33</f>
        <v>203.49</v>
      </c>
      <c r="C916" s="51">
        <v>153</v>
      </c>
      <c r="D916" s="50"/>
      <c r="E916" s="144"/>
      <c r="F916" s="144"/>
      <c r="G916" s="144"/>
      <c r="H916" s="144"/>
      <c r="I916" s="443"/>
      <c r="N916" s="20"/>
      <c r="O916" s="20"/>
      <c r="P916" s="555"/>
      <c r="Q916" s="555"/>
      <c r="R916" s="335"/>
      <c r="S916" s="20"/>
    </row>
    <row r="917" spans="1:9" s="13" customFormat="1" ht="28.5" customHeight="1">
      <c r="A917" s="75" t="s">
        <v>13</v>
      </c>
      <c r="B917" s="51">
        <f>C917*1.43</f>
        <v>218.79</v>
      </c>
      <c r="C917" s="51">
        <v>153</v>
      </c>
      <c r="D917" s="50"/>
      <c r="E917" s="144"/>
      <c r="F917" s="144"/>
      <c r="G917" s="144"/>
      <c r="H917" s="185"/>
      <c r="I917" s="443"/>
    </row>
    <row r="918" spans="1:9" s="13" customFormat="1" ht="28.5" customHeight="1">
      <c r="A918" s="75" t="s">
        <v>14</v>
      </c>
      <c r="B918" s="51">
        <f>C918*1.54</f>
        <v>235.62</v>
      </c>
      <c r="C918" s="51">
        <v>153</v>
      </c>
      <c r="D918" s="50"/>
      <c r="E918" s="144"/>
      <c r="F918" s="63"/>
      <c r="G918" s="63"/>
      <c r="H918" s="62"/>
      <c r="I918" s="443"/>
    </row>
    <row r="919" spans="1:17" s="142" customFormat="1" ht="28.5" customHeight="1">
      <c r="A919" s="75" t="s">
        <v>15</v>
      </c>
      <c r="B919" s="51">
        <f>C919*1.67</f>
        <v>255.51</v>
      </c>
      <c r="C919" s="51">
        <v>153</v>
      </c>
      <c r="D919" s="50"/>
      <c r="E919" s="144"/>
      <c r="F919" s="63"/>
      <c r="G919" s="63"/>
      <c r="H919" s="62"/>
      <c r="I919" s="443"/>
      <c r="J919" s="13"/>
      <c r="K919" s="13"/>
      <c r="N919" s="13"/>
      <c r="O919" s="13"/>
      <c r="P919" s="13"/>
      <c r="Q919" s="13"/>
    </row>
    <row r="920" spans="1:17" s="88" customFormat="1" ht="28.5" customHeight="1">
      <c r="A920" s="72" t="s">
        <v>81</v>
      </c>
      <c r="B920" s="5">
        <f>C920*1.25</f>
        <v>25</v>
      </c>
      <c r="C920" s="5">
        <v>20</v>
      </c>
      <c r="D920" s="50"/>
      <c r="E920" s="144"/>
      <c r="F920" s="144"/>
      <c r="G920" s="144"/>
      <c r="H920" s="185"/>
      <c r="I920" s="444"/>
      <c r="J920" s="13"/>
      <c r="K920" s="13"/>
      <c r="N920" s="13"/>
      <c r="O920" s="13"/>
      <c r="P920" s="13"/>
      <c r="Q920" s="13"/>
    </row>
    <row r="921" spans="1:9" s="13" customFormat="1" ht="28.5" customHeight="1">
      <c r="A921" s="72" t="s">
        <v>16</v>
      </c>
      <c r="B921" s="54">
        <f>C921*1.33</f>
        <v>26.6</v>
      </c>
      <c r="C921" s="5">
        <v>20</v>
      </c>
      <c r="D921" s="50"/>
      <c r="E921" s="144"/>
      <c r="F921" s="144"/>
      <c r="G921" s="144"/>
      <c r="H921" s="185"/>
      <c r="I921" s="444"/>
    </row>
    <row r="922" spans="1:9" s="13" customFormat="1" ht="28.5" customHeight="1">
      <c r="A922" s="72" t="s">
        <v>18</v>
      </c>
      <c r="B922" s="51">
        <f>C922*1.19</f>
        <v>33.32</v>
      </c>
      <c r="C922" s="5">
        <v>28</v>
      </c>
      <c r="D922" s="50"/>
      <c r="E922" s="144"/>
      <c r="F922" s="144"/>
      <c r="G922" s="144"/>
      <c r="H922" s="185"/>
      <c r="I922" s="444"/>
    </row>
    <row r="923" spans="1:9" s="13" customFormat="1" ht="28.5" customHeight="1">
      <c r="A923" s="80" t="s">
        <v>72</v>
      </c>
      <c r="B923" s="49">
        <v>10</v>
      </c>
      <c r="C923" s="5">
        <v>10</v>
      </c>
      <c r="D923" s="50"/>
      <c r="E923" s="144"/>
      <c r="F923" s="144"/>
      <c r="G923" s="144"/>
      <c r="H923" s="185"/>
      <c r="I923" s="444"/>
    </row>
    <row r="924" spans="1:17" s="13" customFormat="1" ht="28.5" customHeight="1">
      <c r="A924" s="124" t="s">
        <v>19</v>
      </c>
      <c r="B924" s="185">
        <v>15</v>
      </c>
      <c r="C924" s="185">
        <v>15</v>
      </c>
      <c r="D924" s="50"/>
      <c r="E924" s="144"/>
      <c r="F924" s="144"/>
      <c r="G924" s="144"/>
      <c r="H924" s="185"/>
      <c r="I924" s="443"/>
      <c r="J924" s="88"/>
      <c r="N924" s="88"/>
      <c r="O924" s="88"/>
      <c r="P924" s="88"/>
      <c r="Q924" s="88"/>
    </row>
    <row r="925" spans="1:17" s="13" customFormat="1" ht="28.5" customHeight="1">
      <c r="A925" s="516" t="s">
        <v>498</v>
      </c>
      <c r="B925" s="516"/>
      <c r="C925" s="516"/>
      <c r="D925" s="61">
        <v>60</v>
      </c>
      <c r="E925" s="63">
        <v>0.6</v>
      </c>
      <c r="F925" s="63">
        <v>0.2</v>
      </c>
      <c r="G925" s="63">
        <v>2.4</v>
      </c>
      <c r="H925" s="186">
        <f>E925*4+F925*9+G925*4</f>
        <v>13.8</v>
      </c>
      <c r="I925" s="304" t="s">
        <v>278</v>
      </c>
      <c r="J925" s="88"/>
      <c r="N925" s="88"/>
      <c r="O925" s="88"/>
      <c r="P925" s="88"/>
      <c r="Q925" s="88"/>
    </row>
    <row r="926" spans="1:9" s="13" customFormat="1" ht="28.5" customHeight="1">
      <c r="A926" s="130" t="s">
        <v>124</v>
      </c>
      <c r="B926" s="51">
        <f>C926*1.02</f>
        <v>61.2</v>
      </c>
      <c r="C926" s="83">
        <v>60</v>
      </c>
      <c r="D926" s="82"/>
      <c r="E926" s="114"/>
      <c r="F926" s="114"/>
      <c r="G926" s="114"/>
      <c r="H926" s="114"/>
      <c r="I926" s="496"/>
    </row>
    <row r="927" spans="1:9" s="13" customFormat="1" ht="30" customHeight="1">
      <c r="A927" s="75" t="s">
        <v>125</v>
      </c>
      <c r="B927" s="51">
        <f>C927*1.18</f>
        <v>70.8</v>
      </c>
      <c r="C927" s="83">
        <v>60</v>
      </c>
      <c r="D927" s="82"/>
      <c r="E927" s="114"/>
      <c r="F927" s="114"/>
      <c r="G927" s="114"/>
      <c r="H927" s="114"/>
      <c r="I927" s="456"/>
    </row>
    <row r="928" spans="1:17" s="13" customFormat="1" ht="30" customHeight="1">
      <c r="A928" s="75" t="s">
        <v>138</v>
      </c>
      <c r="B928" s="51">
        <f>C928*1.82</f>
        <v>109.2</v>
      </c>
      <c r="C928" s="83">
        <v>60</v>
      </c>
      <c r="D928" s="82"/>
      <c r="E928" s="114"/>
      <c r="F928" s="114"/>
      <c r="G928" s="114"/>
      <c r="H928" s="114"/>
      <c r="I928" s="456"/>
      <c r="J928" s="88"/>
      <c r="N928" s="88"/>
      <c r="O928" s="88"/>
      <c r="P928" s="88"/>
      <c r="Q928" s="88"/>
    </row>
    <row r="929" spans="1:17" s="13" customFormat="1" ht="30" customHeight="1">
      <c r="A929" s="504" t="s">
        <v>286</v>
      </c>
      <c r="B929" s="504"/>
      <c r="C929" s="504"/>
      <c r="D929" s="62">
        <v>200</v>
      </c>
      <c r="E929" s="63">
        <v>0.2</v>
      </c>
      <c r="F929" s="63">
        <v>0</v>
      </c>
      <c r="G929" s="63">
        <v>11.9</v>
      </c>
      <c r="H929" s="62">
        <v>53</v>
      </c>
      <c r="I929" s="444" t="s">
        <v>285</v>
      </c>
      <c r="J929" s="88"/>
      <c r="N929" s="88"/>
      <c r="O929" s="88"/>
      <c r="P929" s="88"/>
      <c r="Q929" s="88"/>
    </row>
    <row r="930" spans="1:9" s="13" customFormat="1" ht="30" customHeight="1">
      <c r="A930" s="75" t="s">
        <v>26</v>
      </c>
      <c r="B930" s="50">
        <v>2</v>
      </c>
      <c r="C930" s="50">
        <v>2</v>
      </c>
      <c r="D930" s="377"/>
      <c r="E930" s="231"/>
      <c r="F930" s="231"/>
      <c r="G930" s="231"/>
      <c r="H930" s="232"/>
      <c r="I930" s="444"/>
    </row>
    <row r="931" spans="1:9" s="13" customFormat="1" ht="30" customHeight="1">
      <c r="A931" s="75" t="s">
        <v>4</v>
      </c>
      <c r="B931" s="40">
        <v>12</v>
      </c>
      <c r="C931" s="40">
        <v>12</v>
      </c>
      <c r="D931" s="41"/>
      <c r="E931" s="231"/>
      <c r="F931" s="231"/>
      <c r="G931" s="231"/>
      <c r="H931" s="232"/>
      <c r="I931" s="443"/>
    </row>
    <row r="932" spans="1:9" s="13" customFormat="1" ht="30" customHeight="1">
      <c r="A932" s="516" t="s">
        <v>271</v>
      </c>
      <c r="B932" s="516"/>
      <c r="C932" s="516"/>
      <c r="D932" s="36">
        <v>150</v>
      </c>
      <c r="E932" s="37">
        <v>0.2</v>
      </c>
      <c r="F932" s="37">
        <v>0</v>
      </c>
      <c r="G932" s="37">
        <v>8.6</v>
      </c>
      <c r="H932" s="228">
        <f>E932*4+F932*9+G932*4</f>
        <v>35.199999999999996</v>
      </c>
      <c r="I932" s="304" t="s">
        <v>272</v>
      </c>
    </row>
    <row r="933" spans="1:9" s="13" customFormat="1" ht="30" customHeight="1">
      <c r="A933" s="494" t="s">
        <v>20</v>
      </c>
      <c r="B933" s="181">
        <v>20</v>
      </c>
      <c r="C933" s="181">
        <v>20</v>
      </c>
      <c r="D933" s="114">
        <v>20</v>
      </c>
      <c r="E933" s="121">
        <v>0.9</v>
      </c>
      <c r="F933" s="121">
        <v>0.2</v>
      </c>
      <c r="G933" s="121">
        <v>8.7</v>
      </c>
      <c r="H933" s="157">
        <v>40.5</v>
      </c>
      <c r="I933" s="444"/>
    </row>
    <row r="934" spans="1:9" s="13" customFormat="1" ht="30" customHeight="1">
      <c r="A934" s="504" t="s">
        <v>100</v>
      </c>
      <c r="B934" s="504"/>
      <c r="C934" s="504"/>
      <c r="D934" s="61">
        <v>20</v>
      </c>
      <c r="E934" s="63"/>
      <c r="F934" s="63"/>
      <c r="G934" s="63"/>
      <c r="H934" s="63"/>
      <c r="I934" s="444"/>
    </row>
    <row r="935" spans="1:9" s="13" customFormat="1" ht="30" customHeight="1">
      <c r="A935" s="495" t="s">
        <v>27</v>
      </c>
      <c r="B935" s="122">
        <v>20</v>
      </c>
      <c r="C935" s="122">
        <v>20</v>
      </c>
      <c r="D935" s="61">
        <v>20</v>
      </c>
      <c r="E935" s="63">
        <v>0.7</v>
      </c>
      <c r="F935" s="63">
        <v>0.2</v>
      </c>
      <c r="G935" s="63">
        <v>9.4</v>
      </c>
      <c r="H935" s="62">
        <v>41</v>
      </c>
      <c r="I935" s="444"/>
    </row>
    <row r="936" spans="1:9" s="13" customFormat="1" ht="30" customHeight="1">
      <c r="A936" s="507" t="s">
        <v>77</v>
      </c>
      <c r="B936" s="507"/>
      <c r="C936" s="507"/>
      <c r="D936" s="184">
        <f>D937+270+D970+D992+D996</f>
        <v>850</v>
      </c>
      <c r="E936" s="59">
        <f>E937+E949+E970+E992+E996+E1002+E1004</f>
        <v>26.40666666666667</v>
      </c>
      <c r="F936" s="59">
        <f>F937+F949+F970+F992+F996+F1002+F1004</f>
        <v>28.119999999999997</v>
      </c>
      <c r="G936" s="59">
        <f>G937+G949+G970+G992+G996+G1002+G1004</f>
        <v>131.78666666666666</v>
      </c>
      <c r="H936" s="154">
        <f>H937+H949+H970+H992+H996+H1002+H1004</f>
        <v>883.5866666666666</v>
      </c>
      <c r="I936" s="449"/>
    </row>
    <row r="937" spans="1:9" s="13" customFormat="1" ht="30" customHeight="1">
      <c r="A937" s="516" t="s">
        <v>348</v>
      </c>
      <c r="B937" s="516"/>
      <c r="C937" s="516"/>
      <c r="D937" s="61">
        <v>100</v>
      </c>
      <c r="E937" s="63">
        <v>3.1</v>
      </c>
      <c r="F937" s="63">
        <v>6.5</v>
      </c>
      <c r="G937" s="63">
        <v>9.8</v>
      </c>
      <c r="H937" s="186">
        <f>E937*4+F937*9+G937*4</f>
        <v>110.10000000000001</v>
      </c>
      <c r="I937" s="302" t="s">
        <v>349</v>
      </c>
    </row>
    <row r="938" spans="1:9" s="13" customFormat="1" ht="30" customHeight="1">
      <c r="A938" s="72" t="s">
        <v>12</v>
      </c>
      <c r="B938" s="49">
        <f>C938*1.33</f>
        <v>71.82000000000001</v>
      </c>
      <c r="C938" s="50">
        <v>54</v>
      </c>
      <c r="D938" s="29"/>
      <c r="E938" s="63"/>
      <c r="F938" s="63"/>
      <c r="G938" s="63"/>
      <c r="H938" s="62"/>
      <c r="I938" s="444"/>
    </row>
    <row r="939" spans="1:9" s="13" customFormat="1" ht="30" customHeight="1">
      <c r="A939" s="72" t="s">
        <v>13</v>
      </c>
      <c r="B939" s="49">
        <f>C939*1.43</f>
        <v>77.22</v>
      </c>
      <c r="C939" s="50">
        <v>54</v>
      </c>
      <c r="D939" s="29"/>
      <c r="E939" s="63"/>
      <c r="F939" s="63"/>
      <c r="G939" s="63"/>
      <c r="H939" s="62"/>
      <c r="I939" s="444"/>
    </row>
    <row r="940" spans="1:17" s="88" customFormat="1" ht="30" customHeight="1">
      <c r="A940" s="75" t="s">
        <v>14</v>
      </c>
      <c r="B940" s="49">
        <f>C940*1.54</f>
        <v>83.16</v>
      </c>
      <c r="C940" s="50">
        <v>54</v>
      </c>
      <c r="D940" s="29"/>
      <c r="E940" s="63"/>
      <c r="F940" s="63"/>
      <c r="G940" s="63"/>
      <c r="H940" s="62"/>
      <c r="I940" s="444"/>
      <c r="J940" s="13"/>
      <c r="K940" s="13"/>
      <c r="L940" s="13"/>
      <c r="M940" s="13"/>
      <c r="N940" s="13"/>
      <c r="O940" s="13"/>
      <c r="P940" s="13"/>
      <c r="Q940" s="13"/>
    </row>
    <row r="941" spans="1:9" s="13" customFormat="1" ht="30" customHeight="1">
      <c r="A941" s="75" t="s">
        <v>15</v>
      </c>
      <c r="B941" s="49">
        <f>C941*1.67</f>
        <v>90.17999999999999</v>
      </c>
      <c r="C941" s="50">
        <v>54</v>
      </c>
      <c r="D941" s="29"/>
      <c r="E941" s="63"/>
      <c r="F941" s="63"/>
      <c r="G941" s="63"/>
      <c r="H941" s="62"/>
      <c r="I941" s="444"/>
    </row>
    <row r="942" spans="1:17" s="13" customFormat="1" ht="30" customHeight="1">
      <c r="A942" s="75" t="s">
        <v>350</v>
      </c>
      <c r="B942" s="49"/>
      <c r="C942" s="50">
        <v>50</v>
      </c>
      <c r="D942" s="29"/>
      <c r="E942" s="63"/>
      <c r="F942" s="63"/>
      <c r="G942" s="63"/>
      <c r="H942" s="62"/>
      <c r="I942" s="444"/>
      <c r="J942" s="88"/>
      <c r="N942" s="88"/>
      <c r="O942" s="88"/>
      <c r="P942" s="88"/>
      <c r="Q942" s="88"/>
    </row>
    <row r="943" spans="1:9" s="13" customFormat="1" ht="30" customHeight="1">
      <c r="A943" s="72" t="s">
        <v>153</v>
      </c>
      <c r="B943" s="49">
        <f>C943*1.82</f>
        <v>21.84</v>
      </c>
      <c r="C943" s="50">
        <v>12</v>
      </c>
      <c r="D943" s="29"/>
      <c r="E943" s="63"/>
      <c r="F943" s="63"/>
      <c r="G943" s="63"/>
      <c r="H943" s="62"/>
      <c r="I943" s="444"/>
    </row>
    <row r="944" spans="1:9" s="13" customFormat="1" ht="30" customHeight="1">
      <c r="A944" s="79" t="s">
        <v>144</v>
      </c>
      <c r="B944" s="49">
        <f>C944*1.54</f>
        <v>15.4</v>
      </c>
      <c r="C944" s="50">
        <v>10</v>
      </c>
      <c r="D944" s="29"/>
      <c r="E944" s="63"/>
      <c r="F944" s="63"/>
      <c r="G944" s="63"/>
      <c r="H944" s="62"/>
      <c r="I944" s="444"/>
    </row>
    <row r="945" spans="1:9" s="13" customFormat="1" ht="30" customHeight="1">
      <c r="A945" s="75" t="s">
        <v>109</v>
      </c>
      <c r="B945" s="49">
        <v>20</v>
      </c>
      <c r="C945" s="50">
        <v>20</v>
      </c>
      <c r="D945" s="29"/>
      <c r="E945" s="63"/>
      <c r="F945" s="63"/>
      <c r="G945" s="63"/>
      <c r="H945" s="62"/>
      <c r="I945" s="444"/>
    </row>
    <row r="946" spans="1:9" s="13" customFormat="1" ht="30" customHeight="1">
      <c r="A946" s="130" t="s">
        <v>18</v>
      </c>
      <c r="B946" s="51">
        <f>C946*1.19</f>
        <v>5.949999999999999</v>
      </c>
      <c r="C946" s="50">
        <v>5</v>
      </c>
      <c r="D946" s="29"/>
      <c r="E946" s="143"/>
      <c r="F946" s="143"/>
      <c r="G946" s="143"/>
      <c r="H946" s="143"/>
      <c r="I946" s="475"/>
    </row>
    <row r="947" spans="1:9" s="13" customFormat="1" ht="30" customHeight="1">
      <c r="A947" s="549" t="s">
        <v>491</v>
      </c>
      <c r="B947" s="550"/>
      <c r="C947" s="551"/>
      <c r="D947" s="29"/>
      <c r="E947" s="121"/>
      <c r="F947" s="121"/>
      <c r="G947" s="63"/>
      <c r="H947" s="63"/>
      <c r="I947" s="302"/>
    </row>
    <row r="948" spans="1:17" s="88" customFormat="1" ht="30" customHeight="1">
      <c r="A948" s="75" t="s">
        <v>11</v>
      </c>
      <c r="B948" s="50">
        <v>5</v>
      </c>
      <c r="C948" s="50">
        <v>5</v>
      </c>
      <c r="D948" s="5"/>
      <c r="E948" s="144"/>
      <c r="F948" s="144"/>
      <c r="G948" s="144"/>
      <c r="H948" s="185"/>
      <c r="I948" s="443"/>
      <c r="J948" s="13"/>
      <c r="K948" s="13"/>
      <c r="L948" s="13"/>
      <c r="M948" s="13"/>
      <c r="N948" s="13"/>
      <c r="O948" s="13"/>
      <c r="P948" s="13"/>
      <c r="Q948" s="13"/>
    </row>
    <row r="949" spans="1:9" s="13" customFormat="1" ht="30" customHeight="1">
      <c r="A949" s="533" t="s">
        <v>401</v>
      </c>
      <c r="B949" s="533"/>
      <c r="C949" s="541" t="s">
        <v>165</v>
      </c>
      <c r="D949" s="541"/>
      <c r="E949" s="63">
        <v>4.2</v>
      </c>
      <c r="F949" s="63">
        <v>5.1</v>
      </c>
      <c r="G949" s="63">
        <v>12.7</v>
      </c>
      <c r="H949" s="62">
        <f>G949*4+F949*9+E949*4</f>
        <v>113.49999999999999</v>
      </c>
      <c r="I949" s="444" t="s">
        <v>402</v>
      </c>
    </row>
    <row r="950" spans="1:17" s="13" customFormat="1" ht="30" customHeight="1">
      <c r="A950" s="253" t="s">
        <v>166</v>
      </c>
      <c r="B950" s="250"/>
      <c r="C950" s="158">
        <v>15</v>
      </c>
      <c r="D950" s="158"/>
      <c r="E950" s="63"/>
      <c r="F950" s="63"/>
      <c r="G950" s="63"/>
      <c r="H950" s="62"/>
      <c r="I950" s="444"/>
      <c r="J950" s="172"/>
      <c r="N950" s="172"/>
      <c r="O950" s="172"/>
      <c r="P950" s="172"/>
      <c r="Q950" s="172"/>
    </row>
    <row r="951" spans="1:17" s="88" customFormat="1" ht="30" customHeight="1">
      <c r="A951" s="73" t="s">
        <v>111</v>
      </c>
      <c r="B951" s="38">
        <f>C951*1.36</f>
        <v>23.12</v>
      </c>
      <c r="C951" s="5">
        <v>17</v>
      </c>
      <c r="D951" s="42"/>
      <c r="E951" s="123"/>
      <c r="F951" s="123"/>
      <c r="G951" s="123"/>
      <c r="H951" s="162"/>
      <c r="I951" s="451"/>
      <c r="J951" s="13"/>
      <c r="K951" s="13"/>
      <c r="L951" s="13"/>
      <c r="M951" s="13"/>
      <c r="N951" s="13"/>
      <c r="O951" s="13"/>
      <c r="P951" s="13"/>
      <c r="Q951" s="13"/>
    </row>
    <row r="952" spans="1:17" s="88" customFormat="1" ht="30" customHeight="1">
      <c r="A952" s="73" t="s">
        <v>112</v>
      </c>
      <c r="B952" s="38">
        <f>C952*1.18</f>
        <v>20.06</v>
      </c>
      <c r="C952" s="5">
        <v>17</v>
      </c>
      <c r="D952" s="42"/>
      <c r="E952" s="43"/>
      <c r="F952" s="43"/>
      <c r="G952" s="43"/>
      <c r="H952" s="160"/>
      <c r="I952" s="449"/>
      <c r="J952" s="13"/>
      <c r="K952" s="13"/>
      <c r="L952" s="13"/>
      <c r="M952" s="13"/>
      <c r="N952" s="13"/>
      <c r="O952" s="13"/>
      <c r="P952" s="13"/>
      <c r="Q952" s="13"/>
    </row>
    <row r="953" spans="1:17" s="88" customFormat="1" ht="30" customHeight="1">
      <c r="A953" s="72" t="s">
        <v>18</v>
      </c>
      <c r="B953" s="51">
        <f>C953*1.19</f>
        <v>1.785</v>
      </c>
      <c r="C953" s="5">
        <v>1.5</v>
      </c>
      <c r="D953" s="42"/>
      <c r="E953" s="43"/>
      <c r="F953" s="43"/>
      <c r="G953" s="43"/>
      <c r="H953" s="160"/>
      <c r="I953" s="449"/>
      <c r="J953" s="13"/>
      <c r="K953" s="13"/>
      <c r="L953" s="13"/>
      <c r="M953" s="13"/>
      <c r="N953" s="13"/>
      <c r="O953" s="13"/>
      <c r="P953" s="13"/>
      <c r="Q953" s="13"/>
    </row>
    <row r="954" spans="1:17" s="88" customFormat="1" ht="30" customHeight="1">
      <c r="A954" s="124" t="s">
        <v>84</v>
      </c>
      <c r="B954" s="144">
        <v>1.5</v>
      </c>
      <c r="C954" s="5">
        <v>1.5</v>
      </c>
      <c r="D954" s="42"/>
      <c r="E954" s="43"/>
      <c r="F954" s="43"/>
      <c r="G954" s="43"/>
      <c r="H954" s="160"/>
      <c r="I954" s="449"/>
      <c r="J954" s="13"/>
      <c r="K954" s="13"/>
      <c r="L954" s="13"/>
      <c r="M954" s="13"/>
      <c r="N954" s="13"/>
      <c r="O954" s="13"/>
      <c r="P954" s="13"/>
      <c r="Q954" s="13"/>
    </row>
    <row r="955" spans="1:17" s="88" customFormat="1" ht="30" customHeight="1">
      <c r="A955" s="72" t="s">
        <v>109</v>
      </c>
      <c r="B955" s="54">
        <v>1.2</v>
      </c>
      <c r="C955" s="5">
        <v>1.2</v>
      </c>
      <c r="D955" s="50"/>
      <c r="E955" s="144"/>
      <c r="F955" s="144"/>
      <c r="G955" s="148"/>
      <c r="H955" s="161"/>
      <c r="I955" s="417"/>
      <c r="J955" s="13"/>
      <c r="K955" s="13"/>
      <c r="L955" s="13"/>
      <c r="M955" s="1" t="s">
        <v>68</v>
      </c>
      <c r="N955" s="1"/>
      <c r="O955" s="13"/>
      <c r="P955" s="13"/>
      <c r="Q955" s="13"/>
    </row>
    <row r="956" spans="1:14" s="88" customFormat="1" ht="30" customHeight="1">
      <c r="A956" s="72" t="s">
        <v>17</v>
      </c>
      <c r="B956" s="5">
        <f>C956*1.25</f>
        <v>50</v>
      </c>
      <c r="C956" s="5">
        <v>40</v>
      </c>
      <c r="D956" s="50"/>
      <c r="E956" s="144"/>
      <c r="F956" s="144"/>
      <c r="G956" s="144"/>
      <c r="H956" s="122"/>
      <c r="I956" s="417"/>
      <c r="K956" s="13"/>
      <c r="L956" s="13"/>
      <c r="M956" s="6" t="s">
        <v>27</v>
      </c>
      <c r="N956" s="13">
        <f>D1004+B935</f>
        <v>60</v>
      </c>
    </row>
    <row r="957" spans="1:14" s="13" customFormat="1" ht="30" customHeight="1">
      <c r="A957" s="72" t="s">
        <v>16</v>
      </c>
      <c r="B957" s="49">
        <f>C957*1.33</f>
        <v>53.2</v>
      </c>
      <c r="C957" s="5">
        <v>40</v>
      </c>
      <c r="D957" s="50"/>
      <c r="E957" s="144"/>
      <c r="F957" s="144"/>
      <c r="G957" s="148"/>
      <c r="H957" s="271"/>
      <c r="I957" s="417"/>
      <c r="M957" s="7" t="s">
        <v>28</v>
      </c>
      <c r="N957" s="10">
        <f>+D1002+B900+B893+D933</f>
        <v>77</v>
      </c>
    </row>
    <row r="958" spans="1:15" s="13" customFormat="1" ht="30" customHeight="1">
      <c r="A958" s="72" t="s">
        <v>75</v>
      </c>
      <c r="B958" s="5">
        <f>C958*1.25</f>
        <v>25</v>
      </c>
      <c r="C958" s="5">
        <v>20</v>
      </c>
      <c r="D958" s="50"/>
      <c r="E958" s="144"/>
      <c r="F958" s="144"/>
      <c r="G958" s="144"/>
      <c r="H958" s="161"/>
      <c r="I958" s="417"/>
      <c r="M958" s="8" t="s">
        <v>29</v>
      </c>
      <c r="N958" s="24">
        <f>C979</f>
        <v>3</v>
      </c>
      <c r="O958" s="88"/>
    </row>
    <row r="959" spans="1:15" s="13" customFormat="1" ht="30" customHeight="1">
      <c r="A959" s="72" t="s">
        <v>12</v>
      </c>
      <c r="B959" s="49">
        <f>C959*1.33</f>
        <v>26.6</v>
      </c>
      <c r="C959" s="5">
        <v>20</v>
      </c>
      <c r="D959" s="50"/>
      <c r="E959" s="144"/>
      <c r="F959" s="144"/>
      <c r="G959" s="148"/>
      <c r="H959" s="161"/>
      <c r="I959" s="417"/>
      <c r="M959" s="9" t="s">
        <v>53</v>
      </c>
      <c r="N959" s="13">
        <f>B993</f>
        <v>65</v>
      </c>
      <c r="O959" s="88"/>
    </row>
    <row r="960" spans="1:17" s="13" customFormat="1" ht="30" customHeight="1">
      <c r="A960" s="72" t="s">
        <v>13</v>
      </c>
      <c r="B960" s="49">
        <f>C960*1.43</f>
        <v>28.599999999999998</v>
      </c>
      <c r="C960" s="5">
        <v>20</v>
      </c>
      <c r="D960" s="50"/>
      <c r="E960" s="144"/>
      <c r="F960" s="144"/>
      <c r="G960" s="148"/>
      <c r="H960" s="161"/>
      <c r="I960" s="417"/>
      <c r="J960" s="88"/>
      <c r="M960" s="9" t="s">
        <v>87</v>
      </c>
      <c r="N960" s="24" t="s">
        <v>156</v>
      </c>
      <c r="O960" s="90"/>
      <c r="P960" s="88"/>
      <c r="Q960" s="88"/>
    </row>
    <row r="961" spans="1:14" s="88" customFormat="1" ht="28.5" customHeight="1">
      <c r="A961" s="75" t="s">
        <v>14</v>
      </c>
      <c r="B961" s="49">
        <f>C961*1.54</f>
        <v>30.8</v>
      </c>
      <c r="C961" s="5">
        <v>20</v>
      </c>
      <c r="D961" s="50"/>
      <c r="E961" s="144"/>
      <c r="F961" s="144"/>
      <c r="G961" s="148"/>
      <c r="H961" s="161"/>
      <c r="I961" s="417"/>
      <c r="K961" s="13"/>
      <c r="L961" s="13"/>
      <c r="M961" s="8" t="s">
        <v>30</v>
      </c>
      <c r="N961" s="24">
        <f>C960+C938+C916</f>
        <v>227</v>
      </c>
    </row>
    <row r="962" spans="1:23" s="88" customFormat="1" ht="28.5" customHeight="1">
      <c r="A962" s="75" t="s">
        <v>15</v>
      </c>
      <c r="B962" s="49">
        <f>C962*1.67</f>
        <v>33.4</v>
      </c>
      <c r="C962" s="5">
        <v>20</v>
      </c>
      <c r="D962" s="50"/>
      <c r="E962" s="121"/>
      <c r="F962" s="121"/>
      <c r="G962" s="121"/>
      <c r="H962" s="62"/>
      <c r="I962" s="444"/>
      <c r="K962" s="13"/>
      <c r="L962" s="13"/>
      <c r="M962" s="7" t="s">
        <v>31</v>
      </c>
      <c r="N962" s="24">
        <f>C956+C958+C964+C965+C966+C969++C943+C946+C944+C896+C897++C953+C920+C923+C922+C972+C974+C981+C982</f>
        <v>193.7</v>
      </c>
      <c r="O962" s="13"/>
      <c r="P962" s="561"/>
      <c r="Q962" s="561"/>
      <c r="R962" s="562"/>
      <c r="S962" s="562"/>
      <c r="T962" s="562"/>
      <c r="U962" s="562"/>
      <c r="V962" s="562"/>
      <c r="W962" s="562"/>
    </row>
    <row r="963" spans="1:23" s="88" customFormat="1" ht="28.5" customHeight="1">
      <c r="A963" s="72" t="s">
        <v>81</v>
      </c>
      <c r="B963" s="5">
        <f>C963*1.25</f>
        <v>12.5</v>
      </c>
      <c r="C963" s="5">
        <v>10</v>
      </c>
      <c r="D963" s="50"/>
      <c r="E963" s="144"/>
      <c r="F963" s="144"/>
      <c r="G963" s="144"/>
      <c r="H963" s="185"/>
      <c r="I963" s="444"/>
      <c r="K963" s="13"/>
      <c r="L963" s="13"/>
      <c r="M963" s="7" t="s">
        <v>32</v>
      </c>
      <c r="N963" s="13">
        <f>++D932</f>
        <v>150</v>
      </c>
      <c r="O963" s="13"/>
      <c r="P963" s="561"/>
      <c r="Q963" s="561"/>
      <c r="R963" s="348"/>
      <c r="S963" s="349"/>
      <c r="T963" s="18"/>
      <c r="U963" s="348"/>
      <c r="V963" s="350"/>
      <c r="W963" s="351"/>
    </row>
    <row r="964" spans="1:23" s="88" customFormat="1" ht="28.5" customHeight="1">
      <c r="A964" s="72" t="s">
        <v>16</v>
      </c>
      <c r="B964" s="54">
        <f>C964*1.33</f>
        <v>13.3</v>
      </c>
      <c r="C964" s="5">
        <v>10</v>
      </c>
      <c r="D964" s="50"/>
      <c r="E964" s="144"/>
      <c r="F964" s="144"/>
      <c r="G964" s="144"/>
      <c r="H964" s="185"/>
      <c r="I964" s="444"/>
      <c r="J964" s="13"/>
      <c r="K964" s="13"/>
      <c r="L964" s="13"/>
      <c r="M964" s="8" t="s">
        <v>33</v>
      </c>
      <c r="N964" s="13"/>
      <c r="O964" s="13"/>
      <c r="P964" s="563"/>
      <c r="Q964" s="563"/>
      <c r="R964" s="564"/>
      <c r="S964" s="564"/>
      <c r="T964" s="564"/>
      <c r="U964" s="564"/>
      <c r="V964" s="564"/>
      <c r="W964" s="564"/>
    </row>
    <row r="965" spans="1:23" s="88" customFormat="1" ht="28.5" customHeight="1">
      <c r="A965" s="72" t="s">
        <v>18</v>
      </c>
      <c r="B965" s="51">
        <f>C965*1.19</f>
        <v>11.899999999999999</v>
      </c>
      <c r="C965" s="5">
        <v>10</v>
      </c>
      <c r="D965" s="50"/>
      <c r="E965" s="144"/>
      <c r="F965" s="144"/>
      <c r="G965" s="144"/>
      <c r="H965" s="185"/>
      <c r="I965" s="444"/>
      <c r="K965" s="13"/>
      <c r="L965" s="13"/>
      <c r="M965" s="8" t="s">
        <v>34</v>
      </c>
      <c r="N965" s="10">
        <f>++B931</f>
        <v>12</v>
      </c>
      <c r="O965" s="13"/>
      <c r="P965" s="336"/>
      <c r="Q965" s="336"/>
      <c r="R965" s="337"/>
      <c r="S965" s="337"/>
      <c r="T965" s="337"/>
      <c r="U965" s="337"/>
      <c r="V965" s="337"/>
      <c r="W965" s="337"/>
    </row>
    <row r="966" spans="1:23" s="13" customFormat="1" ht="28.5" customHeight="1">
      <c r="A966" s="80" t="s">
        <v>72</v>
      </c>
      <c r="B966" s="49">
        <v>7</v>
      </c>
      <c r="C966" s="5">
        <v>7</v>
      </c>
      <c r="D966" s="50"/>
      <c r="E966" s="144"/>
      <c r="F966" s="144"/>
      <c r="G966" s="144"/>
      <c r="H966" s="185"/>
      <c r="I966" s="444"/>
      <c r="J966" s="88"/>
      <c r="M966" s="8" t="s">
        <v>35</v>
      </c>
      <c r="N966" s="13">
        <f>D996</f>
        <v>200</v>
      </c>
      <c r="P966" s="568"/>
      <c r="Q966" s="568"/>
      <c r="R966" s="569"/>
      <c r="S966" s="569"/>
      <c r="T966" s="569"/>
      <c r="U966" s="569"/>
      <c r="V966" s="569"/>
      <c r="W966" s="338"/>
    </row>
    <row r="967" spans="1:23" s="88" customFormat="1" ht="28.5" customHeight="1">
      <c r="A967" s="124" t="s">
        <v>19</v>
      </c>
      <c r="B967" s="185">
        <v>5</v>
      </c>
      <c r="C967" s="185">
        <v>5</v>
      </c>
      <c r="D967" s="122"/>
      <c r="E967" s="144"/>
      <c r="F967" s="144"/>
      <c r="G967" s="144"/>
      <c r="H967" s="185"/>
      <c r="I967" s="444"/>
      <c r="K967" s="13"/>
      <c r="L967" s="13"/>
      <c r="M967" s="8" t="s">
        <v>36</v>
      </c>
      <c r="N967" s="13"/>
      <c r="O967" s="13"/>
      <c r="P967" s="339"/>
      <c r="Q967" s="339"/>
      <c r="R967" s="569"/>
      <c r="S967" s="570"/>
      <c r="T967" s="570"/>
      <c r="U967" s="570"/>
      <c r="V967" s="570"/>
      <c r="W967" s="338"/>
    </row>
    <row r="968" spans="1:23" s="88" customFormat="1" ht="28.5" customHeight="1">
      <c r="A968" s="72" t="s">
        <v>76</v>
      </c>
      <c r="B968" s="5">
        <v>5</v>
      </c>
      <c r="C968" s="5">
        <v>5</v>
      </c>
      <c r="D968" s="5"/>
      <c r="E968" s="144"/>
      <c r="F968" s="144"/>
      <c r="G968" s="144"/>
      <c r="H968" s="185"/>
      <c r="I968" s="444"/>
      <c r="J968" s="13"/>
      <c r="K968" s="13"/>
      <c r="L968" s="13"/>
      <c r="M968" s="8" t="s">
        <v>82</v>
      </c>
      <c r="N968" s="24"/>
      <c r="O968" s="13"/>
      <c r="P968" s="340"/>
      <c r="Q968" s="341"/>
      <c r="R968" s="569"/>
      <c r="S968" s="342"/>
      <c r="T968" s="342"/>
      <c r="U968" s="342"/>
      <c r="V968" s="342"/>
      <c r="W968" s="342"/>
    </row>
    <row r="969" spans="1:23" s="13" customFormat="1" ht="28.5" customHeight="1">
      <c r="A969" s="75" t="s">
        <v>97</v>
      </c>
      <c r="B969" s="54">
        <v>0.2</v>
      </c>
      <c r="C969" s="54">
        <v>0.2</v>
      </c>
      <c r="D969" s="42"/>
      <c r="E969" s="43"/>
      <c r="F969" s="43"/>
      <c r="G969" s="43"/>
      <c r="H969" s="160"/>
      <c r="I969" s="449"/>
      <c r="J969" s="88"/>
      <c r="M969" s="8" t="s">
        <v>54</v>
      </c>
      <c r="P969" s="343"/>
      <c r="Q969" s="344"/>
      <c r="R969" s="324"/>
      <c r="S969" s="343"/>
      <c r="T969" s="343"/>
      <c r="U969" s="343"/>
      <c r="V969" s="343"/>
      <c r="W969" s="345"/>
    </row>
    <row r="970" spans="1:23" s="13" customFormat="1" ht="28.5" customHeight="1">
      <c r="A970" s="518" t="s">
        <v>467</v>
      </c>
      <c r="B970" s="518"/>
      <c r="C970" s="518"/>
      <c r="D970" s="27">
        <v>100</v>
      </c>
      <c r="E970" s="63">
        <v>10.9</v>
      </c>
      <c r="F970" s="63">
        <v>11.3</v>
      </c>
      <c r="G970" s="63">
        <v>4.1</v>
      </c>
      <c r="H970" s="35">
        <f>G970*4+F970*9+E970*4</f>
        <v>161.7</v>
      </c>
      <c r="I970" s="302" t="s">
        <v>468</v>
      </c>
      <c r="J970" s="88"/>
      <c r="M970" s="13" t="s">
        <v>257</v>
      </c>
      <c r="P970" s="343"/>
      <c r="Q970" s="344"/>
      <c r="R970" s="571"/>
      <c r="S970" s="571"/>
      <c r="T970" s="352"/>
      <c r="U970" s="343"/>
      <c r="V970" s="352"/>
      <c r="W970" s="345"/>
    </row>
    <row r="971" spans="1:23" s="13" customFormat="1" ht="28.5" customHeight="1">
      <c r="A971" s="166" t="s">
        <v>469</v>
      </c>
      <c r="B971" s="69">
        <f>C971*1.18</f>
        <v>97.94</v>
      </c>
      <c r="C971" s="185">
        <v>83</v>
      </c>
      <c r="D971" s="49"/>
      <c r="E971" s="144"/>
      <c r="F971" s="144"/>
      <c r="G971" s="144"/>
      <c r="H971" s="144"/>
      <c r="I971" s="443"/>
      <c r="M971" s="7" t="s">
        <v>37</v>
      </c>
      <c r="N971" s="145">
        <f>B930</f>
        <v>2</v>
      </c>
      <c r="P971" s="346"/>
      <c r="Q971" s="346"/>
      <c r="R971" s="324"/>
      <c r="S971" s="325"/>
      <c r="T971" s="326"/>
      <c r="U971" s="325"/>
      <c r="V971" s="326"/>
      <c r="W971" s="332"/>
    </row>
    <row r="972" spans="1:23" s="13" customFormat="1" ht="28.5" customHeight="1">
      <c r="A972" s="72" t="s">
        <v>81</v>
      </c>
      <c r="B972" s="5">
        <f>C972*1.25</f>
        <v>2.5</v>
      </c>
      <c r="C972" s="5">
        <v>2</v>
      </c>
      <c r="D972" s="49"/>
      <c r="E972" s="144"/>
      <c r="F972" s="144"/>
      <c r="G972" s="144"/>
      <c r="H972" s="185"/>
      <c r="I972" s="444"/>
      <c r="M972" s="8" t="s">
        <v>38</v>
      </c>
      <c r="N972" s="89">
        <f>C951</f>
        <v>17</v>
      </c>
      <c r="P972" s="346"/>
      <c r="Q972" s="346"/>
      <c r="R972" s="353"/>
      <c r="S972" s="331"/>
      <c r="T972" s="332"/>
      <c r="U972" s="331"/>
      <c r="V972" s="332"/>
      <c r="W972" s="332"/>
    </row>
    <row r="973" spans="1:23" s="13" customFormat="1" ht="28.5" customHeight="1">
      <c r="A973" s="72" t="s">
        <v>16</v>
      </c>
      <c r="B973" s="54">
        <f>C973*1.33</f>
        <v>2.66</v>
      </c>
      <c r="C973" s="5">
        <v>2</v>
      </c>
      <c r="D973" s="49"/>
      <c r="E973" s="144"/>
      <c r="F973" s="144"/>
      <c r="G973" s="144"/>
      <c r="H973" s="185"/>
      <c r="I973" s="444"/>
      <c r="M973" s="8" t="s">
        <v>39</v>
      </c>
      <c r="N973" s="89"/>
      <c r="P973" s="346"/>
      <c r="Q973" s="346"/>
      <c r="R973" s="571"/>
      <c r="S973" s="571"/>
      <c r="T973" s="352"/>
      <c r="U973" s="326"/>
      <c r="V973" s="352"/>
      <c r="W973" s="332"/>
    </row>
    <row r="974" spans="1:23" s="13" customFormat="1" ht="28.5" customHeight="1">
      <c r="A974" s="72" t="s">
        <v>18</v>
      </c>
      <c r="B974" s="55">
        <f>C974*1.19</f>
        <v>2.38</v>
      </c>
      <c r="C974" s="5">
        <v>2</v>
      </c>
      <c r="D974" s="49"/>
      <c r="E974" s="144"/>
      <c r="F974" s="144"/>
      <c r="G974" s="144"/>
      <c r="H974" s="185"/>
      <c r="I974" s="444"/>
      <c r="M974" s="8" t="s">
        <v>334</v>
      </c>
      <c r="N974" s="89">
        <f>C971</f>
        <v>83</v>
      </c>
      <c r="P974" s="346"/>
      <c r="Q974" s="346"/>
      <c r="R974" s="354"/>
      <c r="S974" s="326"/>
      <c r="T974" s="326"/>
      <c r="U974" s="326"/>
      <c r="V974" s="326"/>
      <c r="W974" s="332"/>
    </row>
    <row r="975" spans="1:23" s="13" customFormat="1" ht="28.5" customHeight="1">
      <c r="A975" s="124" t="s">
        <v>470</v>
      </c>
      <c r="B975" s="185"/>
      <c r="C975" s="185">
        <v>50</v>
      </c>
      <c r="D975" s="49"/>
      <c r="E975" s="144"/>
      <c r="F975" s="144"/>
      <c r="G975" s="144"/>
      <c r="H975" s="144"/>
      <c r="I975" s="443"/>
      <c r="M975" s="7" t="s">
        <v>41</v>
      </c>
      <c r="N975" s="24">
        <f>C890+C891</f>
        <v>164</v>
      </c>
      <c r="P975" s="346"/>
      <c r="Q975" s="346"/>
      <c r="R975" s="355"/>
      <c r="S975" s="326"/>
      <c r="T975" s="326"/>
      <c r="U975" s="332"/>
      <c r="V975" s="332"/>
      <c r="W975" s="332"/>
    </row>
    <row r="976" spans="1:23" s="88" customFormat="1" ht="28.5" customHeight="1">
      <c r="A976" s="75" t="s">
        <v>173</v>
      </c>
      <c r="B976" s="5">
        <v>5</v>
      </c>
      <c r="C976" s="5">
        <v>5</v>
      </c>
      <c r="D976" s="49"/>
      <c r="E976" s="378"/>
      <c r="F976" s="144"/>
      <c r="G976" s="144"/>
      <c r="H976" s="185"/>
      <c r="I976" s="443"/>
      <c r="J976" s="13"/>
      <c r="K976" s="13"/>
      <c r="L976" s="13"/>
      <c r="M976" s="8" t="s">
        <v>42</v>
      </c>
      <c r="N976" s="145">
        <f>B894</f>
        <v>1.2</v>
      </c>
      <c r="O976" s="13"/>
      <c r="P976" s="346"/>
      <c r="Q976" s="346"/>
      <c r="R976" s="356"/>
      <c r="S976" s="326"/>
      <c r="T976" s="326"/>
      <c r="U976" s="332"/>
      <c r="V976" s="332"/>
      <c r="W976" s="332"/>
    </row>
    <row r="977" spans="1:23" s="88" customFormat="1" ht="28.5" customHeight="1">
      <c r="A977" s="229" t="s">
        <v>471</v>
      </c>
      <c r="B977" s="84"/>
      <c r="C977" s="199">
        <v>50</v>
      </c>
      <c r="D977" s="29"/>
      <c r="E977" s="31"/>
      <c r="F977" s="31"/>
      <c r="G977" s="31"/>
      <c r="H977" s="35"/>
      <c r="I977" s="302" t="s">
        <v>472</v>
      </c>
      <c r="J977" s="13"/>
      <c r="K977" s="13"/>
      <c r="L977" s="13"/>
      <c r="M977" s="8" t="s">
        <v>106</v>
      </c>
      <c r="N977" s="13"/>
      <c r="O977" s="13"/>
      <c r="P977" s="346"/>
      <c r="Q977" s="346"/>
      <c r="R977" s="575"/>
      <c r="S977" s="575"/>
      <c r="T977" s="326"/>
      <c r="U977" s="326"/>
      <c r="V977" s="326"/>
      <c r="W977" s="332"/>
    </row>
    <row r="978" spans="1:23" s="13" customFormat="1" ht="28.5" customHeight="1">
      <c r="A978" s="79" t="s">
        <v>473</v>
      </c>
      <c r="B978" s="384">
        <v>12.5</v>
      </c>
      <c r="C978" s="384">
        <v>12.5</v>
      </c>
      <c r="D978" s="50"/>
      <c r="E978" s="55"/>
      <c r="F978" s="55"/>
      <c r="G978" s="55"/>
      <c r="H978" s="51"/>
      <c r="I978" s="486"/>
      <c r="J978" s="364"/>
      <c r="M978" s="8" t="s">
        <v>43</v>
      </c>
      <c r="O978" s="142"/>
      <c r="P978" s="346"/>
      <c r="Q978" s="346"/>
      <c r="R978" s="576"/>
      <c r="S978" s="572"/>
      <c r="T978" s="357"/>
      <c r="U978" s="347"/>
      <c r="V978" s="357"/>
      <c r="W978" s="347"/>
    </row>
    <row r="979" spans="1:23" s="13" customFormat="1" ht="30" customHeight="1">
      <c r="A979" s="75" t="s">
        <v>21</v>
      </c>
      <c r="B979" s="49">
        <v>3</v>
      </c>
      <c r="C979" s="49">
        <v>3</v>
      </c>
      <c r="D979" s="54"/>
      <c r="E979" s="144"/>
      <c r="F979" s="144"/>
      <c r="G979" s="144"/>
      <c r="H979" s="144"/>
      <c r="I979" s="443"/>
      <c r="J979" s="88"/>
      <c r="M979" s="7" t="s">
        <v>44</v>
      </c>
      <c r="N979" s="24">
        <f>B968+C978</f>
        <v>17.5</v>
      </c>
      <c r="P979" s="565"/>
      <c r="Q979" s="565"/>
      <c r="R979" s="565"/>
      <c r="S979" s="565"/>
      <c r="T979" s="565"/>
      <c r="U979" s="565"/>
      <c r="V979" s="565"/>
      <c r="W979" s="565"/>
    </row>
    <row r="980" spans="1:23" s="13" customFormat="1" ht="30" customHeight="1">
      <c r="A980" s="79" t="s">
        <v>84</v>
      </c>
      <c r="B980" s="384">
        <v>37.5</v>
      </c>
      <c r="C980" s="384">
        <v>37.5</v>
      </c>
      <c r="D980" s="50"/>
      <c r="E980" s="55"/>
      <c r="F980" s="55"/>
      <c r="G980" s="55"/>
      <c r="H980" s="51"/>
      <c r="I980" s="485"/>
      <c r="M980" s="7" t="s">
        <v>45</v>
      </c>
      <c r="N980" s="24"/>
      <c r="P980" s="566"/>
      <c r="Q980" s="566"/>
      <c r="R980" s="566"/>
      <c r="S980" s="566"/>
      <c r="T980" s="566"/>
      <c r="U980" s="566"/>
      <c r="V980" s="566"/>
      <c r="W980" s="566"/>
    </row>
    <row r="981" spans="1:23" s="88" customFormat="1" ht="30" customHeight="1">
      <c r="A981" s="79" t="s">
        <v>72</v>
      </c>
      <c r="B981" s="126">
        <v>5</v>
      </c>
      <c r="C981" s="126">
        <v>5</v>
      </c>
      <c r="D981" s="50"/>
      <c r="E981" s="55"/>
      <c r="F981" s="55"/>
      <c r="G981" s="55"/>
      <c r="H981" s="51"/>
      <c r="I981" s="485"/>
      <c r="J981" s="13"/>
      <c r="K981" s="13"/>
      <c r="L981" s="13"/>
      <c r="M981" s="60" t="s">
        <v>46</v>
      </c>
      <c r="N981" s="200">
        <f>+C995+B967+B898+B902+B924</f>
        <v>40</v>
      </c>
      <c r="P981" s="567"/>
      <c r="Q981" s="567"/>
      <c r="R981" s="567"/>
      <c r="S981" s="567"/>
      <c r="T981" s="567"/>
      <c r="U981" s="567"/>
      <c r="V981" s="567"/>
      <c r="W981" s="567"/>
    </row>
    <row r="982" spans="1:23" s="88" customFormat="1" ht="30" customHeight="1">
      <c r="A982" s="79" t="s">
        <v>151</v>
      </c>
      <c r="B982" s="54">
        <f>C982*1.28</f>
        <v>1.28</v>
      </c>
      <c r="C982" s="5">
        <v>1</v>
      </c>
      <c r="D982" s="50"/>
      <c r="E982" s="55"/>
      <c r="F982" s="55"/>
      <c r="G982" s="55"/>
      <c r="H982" s="51"/>
      <c r="I982" s="485"/>
      <c r="J982" s="13"/>
      <c r="K982" s="248"/>
      <c r="L982" s="20"/>
      <c r="M982" s="8" t="s">
        <v>47</v>
      </c>
      <c r="N982" s="89">
        <f>B976+C948+C901</f>
        <v>13</v>
      </c>
      <c r="P982" s="358"/>
      <c r="Q982" s="358"/>
      <c r="R982" s="566"/>
      <c r="S982" s="566"/>
      <c r="T982" s="566"/>
      <c r="U982" s="566"/>
      <c r="V982" s="566"/>
      <c r="W982" s="566"/>
    </row>
    <row r="983" spans="1:23" s="88" customFormat="1" ht="30" customHeight="1">
      <c r="A983" s="508" t="s">
        <v>95</v>
      </c>
      <c r="B983" s="508"/>
      <c r="C983" s="508"/>
      <c r="D983" s="508"/>
      <c r="E983" s="508"/>
      <c r="F983" s="508"/>
      <c r="G983" s="508"/>
      <c r="H983" s="508"/>
      <c r="I983" s="508"/>
      <c r="J983" s="13"/>
      <c r="K983" s="244"/>
      <c r="L983" s="20"/>
      <c r="M983" s="8" t="s">
        <v>48</v>
      </c>
      <c r="N983" s="89">
        <f>C955+B899+B945</f>
        <v>26.2</v>
      </c>
      <c r="P983" s="358"/>
      <c r="Q983" s="358"/>
      <c r="R983" s="566"/>
      <c r="S983" s="566"/>
      <c r="T983" s="566"/>
      <c r="U983" s="566"/>
      <c r="V983" s="566"/>
      <c r="W983" s="566"/>
    </row>
    <row r="984" spans="1:23" s="88" customFormat="1" ht="30" customHeight="1">
      <c r="A984" s="509" t="s">
        <v>478</v>
      </c>
      <c r="B984" s="509"/>
      <c r="C984" s="509"/>
      <c r="D984" s="29">
        <v>120</v>
      </c>
      <c r="E984" s="127">
        <v>14.2</v>
      </c>
      <c r="F984" s="127">
        <v>10.7</v>
      </c>
      <c r="G984" s="127">
        <v>4.5</v>
      </c>
      <c r="H984" s="62">
        <f>G984*4+F984*9+E984*4</f>
        <v>171.1</v>
      </c>
      <c r="I984" s="444" t="s">
        <v>479</v>
      </c>
      <c r="J984" s="13"/>
      <c r="K984" s="244"/>
      <c r="L984" s="175"/>
      <c r="M984" s="13"/>
      <c r="N984" s="13"/>
      <c r="O984" s="13"/>
      <c r="P984" s="358"/>
      <c r="Q984" s="358"/>
      <c r="R984" s="566"/>
      <c r="S984" s="566"/>
      <c r="T984" s="566"/>
      <c r="U984" s="566"/>
      <c r="V984" s="566"/>
      <c r="W984" s="566"/>
    </row>
    <row r="985" spans="1:23" s="13" customFormat="1" ht="30" customHeight="1">
      <c r="A985" s="166" t="s">
        <v>480</v>
      </c>
      <c r="B985" s="69">
        <f>C985*1.2</f>
        <v>124.8</v>
      </c>
      <c r="C985" s="185">
        <v>104</v>
      </c>
      <c r="D985" s="49"/>
      <c r="E985" s="144"/>
      <c r="F985" s="144"/>
      <c r="G985" s="144"/>
      <c r="H985" s="61"/>
      <c r="I985" s="443"/>
      <c r="J985" s="88"/>
      <c r="K985" s="245"/>
      <c r="L985" s="176"/>
      <c r="N985" s="88"/>
      <c r="O985" s="88"/>
      <c r="P985" s="358"/>
      <c r="Q985" s="358"/>
      <c r="R985" s="566"/>
      <c r="S985" s="566"/>
      <c r="T985" s="566"/>
      <c r="U985" s="566"/>
      <c r="V985" s="566"/>
      <c r="W985" s="566"/>
    </row>
    <row r="986" spans="1:23" s="172" customFormat="1" ht="30" customHeight="1">
      <c r="A986" s="124" t="s">
        <v>11</v>
      </c>
      <c r="B986" s="185">
        <v>5</v>
      </c>
      <c r="C986" s="185">
        <v>5</v>
      </c>
      <c r="D986" s="49"/>
      <c r="E986" s="123"/>
      <c r="F986" s="123"/>
      <c r="G986" s="123"/>
      <c r="H986" s="162"/>
      <c r="I986" s="451"/>
      <c r="J986" s="88"/>
      <c r="K986" s="246"/>
      <c r="L986" s="175"/>
      <c r="M986" s="13"/>
      <c r="N986" s="88"/>
      <c r="O986" s="88"/>
      <c r="P986" s="574"/>
      <c r="Q986" s="574"/>
      <c r="R986" s="573"/>
      <c r="S986" s="573"/>
      <c r="T986" s="573"/>
      <c r="U986" s="573"/>
      <c r="V986" s="573"/>
      <c r="W986" s="573"/>
    </row>
    <row r="987" spans="1:23" s="13" customFormat="1" ht="30" customHeight="1">
      <c r="A987" s="124" t="s">
        <v>481</v>
      </c>
      <c r="B987" s="185"/>
      <c r="C987" s="185">
        <v>70</v>
      </c>
      <c r="D987" s="167"/>
      <c r="E987" s="123"/>
      <c r="F987" s="123"/>
      <c r="G987" s="123"/>
      <c r="H987" s="162"/>
      <c r="I987" s="451"/>
      <c r="J987" s="88"/>
      <c r="K987" s="246"/>
      <c r="L987" s="175"/>
      <c r="N987" s="88"/>
      <c r="O987" s="88"/>
      <c r="P987" s="358"/>
      <c r="Q987" s="562"/>
      <c r="R987" s="562"/>
      <c r="S987" s="562"/>
      <c r="T987" s="562"/>
      <c r="U987" s="562"/>
      <c r="V987" s="562"/>
      <c r="W987" s="562"/>
    </row>
    <row r="988" spans="1:23" s="88" customFormat="1" ht="30" customHeight="1">
      <c r="A988" s="75" t="s">
        <v>21</v>
      </c>
      <c r="B988" s="126">
        <v>4</v>
      </c>
      <c r="C988" s="51">
        <v>4</v>
      </c>
      <c r="D988" s="51"/>
      <c r="E988" s="144"/>
      <c r="F988" s="144"/>
      <c r="G988" s="144"/>
      <c r="H988" s="144"/>
      <c r="I988" s="443"/>
      <c r="K988" s="245"/>
      <c r="L988" s="175"/>
      <c r="M988" s="13"/>
      <c r="P988" s="358"/>
      <c r="Q988" s="321"/>
      <c r="R988" s="321"/>
      <c r="S988" s="556"/>
      <c r="T988" s="572"/>
      <c r="U988" s="557"/>
      <c r="V988" s="557"/>
      <c r="W988" s="321"/>
    </row>
    <row r="989" spans="1:23" s="88" customFormat="1" ht="30" customHeight="1">
      <c r="A989" s="75" t="s">
        <v>76</v>
      </c>
      <c r="B989" s="384">
        <v>12.5</v>
      </c>
      <c r="C989" s="55">
        <v>12.5</v>
      </c>
      <c r="D989" s="51"/>
      <c r="E989" s="144"/>
      <c r="F989" s="256"/>
      <c r="G989" s="144"/>
      <c r="H989" s="122"/>
      <c r="I989" s="443"/>
      <c r="K989" s="244"/>
      <c r="L989" s="175"/>
      <c r="M989" s="13"/>
      <c r="P989" s="358"/>
      <c r="Q989" s="322"/>
      <c r="R989" s="322"/>
      <c r="S989" s="559"/>
      <c r="T989" s="572"/>
      <c r="U989" s="556"/>
      <c r="V989" s="556"/>
      <c r="W989" s="321"/>
    </row>
    <row r="990" spans="1:23" s="88" customFormat="1" ht="30" customHeight="1">
      <c r="A990" s="75" t="s">
        <v>84</v>
      </c>
      <c r="B990" s="384">
        <v>37.5</v>
      </c>
      <c r="C990" s="55">
        <v>37.5</v>
      </c>
      <c r="D990" s="51"/>
      <c r="E990" s="144"/>
      <c r="F990" s="144"/>
      <c r="G990" s="144"/>
      <c r="H990" s="122"/>
      <c r="I990" s="443"/>
      <c r="K990" s="244"/>
      <c r="L990" s="175"/>
      <c r="M990" s="13"/>
      <c r="P990" s="358"/>
      <c r="Q990" s="322"/>
      <c r="R990" s="322"/>
      <c r="S990" s="559"/>
      <c r="T990" s="572"/>
      <c r="U990" s="556"/>
      <c r="V990" s="556"/>
      <c r="W990" s="321"/>
    </row>
    <row r="991" spans="1:23" s="88" customFormat="1" ht="30" customHeight="1">
      <c r="A991" s="385" t="s">
        <v>18</v>
      </c>
      <c r="B991" s="386">
        <f>C991*1.19</f>
        <v>14.28</v>
      </c>
      <c r="C991" s="386">
        <v>12</v>
      </c>
      <c r="D991" s="51"/>
      <c r="E991" s="144"/>
      <c r="F991" s="121"/>
      <c r="G991" s="121"/>
      <c r="H991" s="61"/>
      <c r="I991" s="443"/>
      <c r="J991" s="13"/>
      <c r="K991" s="245"/>
      <c r="L991" s="20"/>
      <c r="M991" s="13"/>
      <c r="N991" s="13"/>
      <c r="O991" s="13"/>
      <c r="P991" s="20"/>
      <c r="Q991" s="20"/>
      <c r="R991" s="97"/>
      <c r="S991" s="97"/>
      <c r="T991" s="97"/>
      <c r="U991" s="97"/>
      <c r="V991" s="97"/>
      <c r="W991" s="97"/>
    </row>
    <row r="992" spans="1:23" s="88" customFormat="1" ht="30" customHeight="1">
      <c r="A992" s="504" t="s">
        <v>367</v>
      </c>
      <c r="B992" s="504"/>
      <c r="C992" s="504"/>
      <c r="D992" s="27">
        <v>180</v>
      </c>
      <c r="E992" s="63">
        <v>4.44</v>
      </c>
      <c r="F992" s="63">
        <v>4.32</v>
      </c>
      <c r="G992" s="63">
        <v>40.919999999999995</v>
      </c>
      <c r="H992" s="62">
        <v>220.32000000000002</v>
      </c>
      <c r="I992" s="444" t="s">
        <v>368</v>
      </c>
      <c r="J992" s="13"/>
      <c r="K992" s="245"/>
      <c r="L992" s="175"/>
      <c r="M992" s="13"/>
      <c r="N992" s="13"/>
      <c r="O992" s="13"/>
      <c r="P992" s="20"/>
      <c r="Q992" s="20"/>
      <c r="R992" s="20"/>
      <c r="S992" s="20"/>
      <c r="T992" s="20"/>
      <c r="U992" s="97"/>
      <c r="V992" s="97"/>
      <c r="W992" s="97"/>
    </row>
    <row r="993" spans="1:23" s="13" customFormat="1" ht="30" customHeight="1">
      <c r="A993" s="75" t="s">
        <v>23</v>
      </c>
      <c r="B993" s="5">
        <v>65</v>
      </c>
      <c r="C993" s="5">
        <v>65</v>
      </c>
      <c r="D993" s="50"/>
      <c r="E993" s="144"/>
      <c r="F993" s="144"/>
      <c r="G993" s="144"/>
      <c r="H993" s="185"/>
      <c r="I993" s="443"/>
      <c r="K993" s="245"/>
      <c r="L993" s="20"/>
      <c r="P993" s="20"/>
      <c r="Q993" s="20"/>
      <c r="R993" s="20"/>
      <c r="S993" s="20"/>
      <c r="T993" s="20"/>
      <c r="U993" s="20"/>
      <c r="V993" s="20"/>
      <c r="W993" s="20"/>
    </row>
    <row r="994" spans="1:23" s="13" customFormat="1" ht="30" customHeight="1">
      <c r="A994" s="75" t="s">
        <v>84</v>
      </c>
      <c r="B994" s="5">
        <f>B993*6</f>
        <v>390</v>
      </c>
      <c r="C994" s="5">
        <f>C993*6</f>
        <v>390</v>
      </c>
      <c r="D994" s="50"/>
      <c r="E994" s="144"/>
      <c r="F994" s="144"/>
      <c r="G994" s="144"/>
      <c r="H994" s="185"/>
      <c r="I994" s="443"/>
      <c r="K994" s="245"/>
      <c r="L994" s="20"/>
      <c r="P994" s="20"/>
      <c r="Q994" s="20"/>
      <c r="R994" s="20"/>
      <c r="S994" s="20"/>
      <c r="T994" s="20"/>
      <c r="U994" s="20"/>
      <c r="V994" s="20"/>
      <c r="W994" s="20"/>
    </row>
    <row r="995" spans="1:23" s="13" customFormat="1" ht="30" customHeight="1">
      <c r="A995" s="124" t="s">
        <v>19</v>
      </c>
      <c r="B995" s="122">
        <v>5</v>
      </c>
      <c r="C995" s="122">
        <v>5</v>
      </c>
      <c r="D995" s="122"/>
      <c r="E995" s="144"/>
      <c r="F995" s="144"/>
      <c r="G995" s="144"/>
      <c r="H995" s="185"/>
      <c r="I995" s="444"/>
      <c r="K995" s="245"/>
      <c r="L995" s="20"/>
      <c r="P995" s="20"/>
      <c r="Q995" s="20"/>
      <c r="R995" s="20"/>
      <c r="S995" s="20"/>
      <c r="T995" s="20"/>
      <c r="U995" s="20"/>
      <c r="V995" s="20"/>
      <c r="W995" s="20"/>
    </row>
    <row r="996" spans="1:23" s="13" customFormat="1" ht="30" customHeight="1">
      <c r="A996" s="276" t="s">
        <v>203</v>
      </c>
      <c r="B996" s="61">
        <v>200</v>
      </c>
      <c r="C996" s="61">
        <v>200</v>
      </c>
      <c r="D996" s="61">
        <v>200</v>
      </c>
      <c r="E996" s="63">
        <v>0.5</v>
      </c>
      <c r="F996" s="63">
        <v>0.1</v>
      </c>
      <c r="G996" s="63">
        <v>28</v>
      </c>
      <c r="H996" s="62">
        <f>G996*4+F996*9+E996*4</f>
        <v>114.9</v>
      </c>
      <c r="I996" s="304" t="s">
        <v>276</v>
      </c>
      <c r="K996" s="245"/>
      <c r="L996" s="20"/>
      <c r="P996" s="20"/>
      <c r="Q996" s="20"/>
      <c r="R996" s="20"/>
      <c r="S996" s="20"/>
      <c r="T996" s="20"/>
      <c r="U996" s="20"/>
      <c r="V996" s="20"/>
      <c r="W996" s="20"/>
    </row>
    <row r="997" spans="1:23" s="13" customFormat="1" ht="30" customHeight="1">
      <c r="A997" s="508" t="s">
        <v>95</v>
      </c>
      <c r="B997" s="508"/>
      <c r="C997" s="508"/>
      <c r="D997" s="508"/>
      <c r="E997" s="508"/>
      <c r="F997" s="508"/>
      <c r="G997" s="508"/>
      <c r="H997" s="508"/>
      <c r="I997" s="508"/>
      <c r="J997" s="88"/>
      <c r="K997" s="244"/>
      <c r="L997" s="20"/>
      <c r="M997" s="248"/>
      <c r="N997" s="20"/>
      <c r="O997" s="97"/>
      <c r="P997" s="97"/>
      <c r="Q997" s="97"/>
      <c r="R997" s="20"/>
      <c r="S997" s="20"/>
      <c r="T997" s="20"/>
      <c r="U997" s="20"/>
      <c r="V997" s="20"/>
      <c r="W997" s="20"/>
    </row>
    <row r="998" spans="1:23" s="13" customFormat="1" ht="30" customHeight="1">
      <c r="A998" s="506" t="s">
        <v>316</v>
      </c>
      <c r="B998" s="506"/>
      <c r="C998" s="506"/>
      <c r="D998" s="109">
        <v>200</v>
      </c>
      <c r="E998" s="108">
        <v>0.3</v>
      </c>
      <c r="F998" s="108">
        <v>0.3</v>
      </c>
      <c r="G998" s="108">
        <v>20.4</v>
      </c>
      <c r="H998" s="62">
        <f>G998*4+F998*9+E998*4</f>
        <v>85.5</v>
      </c>
      <c r="I998" s="304" t="s">
        <v>317</v>
      </c>
      <c r="K998" s="244"/>
      <c r="L998" s="20"/>
      <c r="M998" s="244"/>
      <c r="N998" s="20"/>
      <c r="O998" s="20"/>
      <c r="P998" s="20"/>
      <c r="Q998" s="20"/>
      <c r="R998" s="20"/>
      <c r="S998" s="20"/>
      <c r="T998" s="20"/>
      <c r="U998" s="20"/>
      <c r="V998" s="20"/>
      <c r="W998" s="20"/>
    </row>
    <row r="999" spans="1:23" s="13" customFormat="1" ht="30" customHeight="1">
      <c r="A999" s="79" t="s">
        <v>194</v>
      </c>
      <c r="B999" s="71">
        <f>C999*1.14</f>
        <v>56.99999999999999</v>
      </c>
      <c r="C999" s="71">
        <v>50</v>
      </c>
      <c r="D999" s="113"/>
      <c r="E999" s="152"/>
      <c r="F999" s="152"/>
      <c r="G999" s="152"/>
      <c r="H999" s="163"/>
      <c r="I999" s="454"/>
      <c r="K999" s="245"/>
      <c r="L999" s="20"/>
      <c r="M999" s="244"/>
      <c r="N999" s="175"/>
      <c r="O999" s="20"/>
      <c r="P999" s="20"/>
      <c r="Q999" s="20"/>
      <c r="R999" s="20"/>
      <c r="S999" s="20"/>
      <c r="T999" s="20"/>
      <c r="U999" s="20"/>
      <c r="V999" s="20"/>
      <c r="W999" s="20"/>
    </row>
    <row r="1000" spans="1:23" s="88" customFormat="1" ht="30" customHeight="1">
      <c r="A1000" s="111" t="s">
        <v>176</v>
      </c>
      <c r="B1000" s="71">
        <f>C1000*1.5</f>
        <v>10.5</v>
      </c>
      <c r="C1000" s="71">
        <v>7</v>
      </c>
      <c r="D1000" s="113"/>
      <c r="E1000" s="152"/>
      <c r="F1000" s="152"/>
      <c r="G1000" s="152"/>
      <c r="H1000" s="163"/>
      <c r="I1000" s="454"/>
      <c r="J1000" s="13"/>
      <c r="K1000" s="245"/>
      <c r="L1000" s="20"/>
      <c r="M1000" s="245"/>
      <c r="N1000" s="175"/>
      <c r="O1000" s="20"/>
      <c r="P1000" s="20"/>
      <c r="Q1000" s="20"/>
      <c r="R1000" s="97"/>
      <c r="S1000" s="97"/>
      <c r="T1000" s="97"/>
      <c r="U1000" s="97"/>
      <c r="V1000" s="97"/>
      <c r="W1000" s="97"/>
    </row>
    <row r="1001" spans="1:23" s="88" customFormat="1" ht="30" customHeight="1">
      <c r="A1001" s="75" t="s">
        <v>4</v>
      </c>
      <c r="B1001" s="71">
        <v>15</v>
      </c>
      <c r="C1001" s="71">
        <v>15</v>
      </c>
      <c r="D1001" s="113"/>
      <c r="E1001" s="152"/>
      <c r="F1001" s="152"/>
      <c r="G1001" s="152"/>
      <c r="H1001" s="163"/>
      <c r="I1001" s="454"/>
      <c r="J1001" s="13"/>
      <c r="K1001" s="247"/>
      <c r="L1001" s="175"/>
      <c r="M1001" s="246"/>
      <c r="N1001" s="175"/>
      <c r="O1001" s="20"/>
      <c r="P1001" s="20"/>
      <c r="Q1001" s="20"/>
      <c r="R1001" s="97"/>
      <c r="S1001" s="97"/>
      <c r="T1001" s="97"/>
      <c r="U1001" s="97"/>
      <c r="V1001" s="97"/>
      <c r="W1001" s="97"/>
    </row>
    <row r="1002" spans="1:23" s="13" customFormat="1" ht="30" customHeight="1">
      <c r="A1002" s="494" t="s">
        <v>20</v>
      </c>
      <c r="B1002" s="181">
        <v>40</v>
      </c>
      <c r="C1002" s="181">
        <v>40</v>
      </c>
      <c r="D1002" s="114">
        <v>40</v>
      </c>
      <c r="E1002" s="121">
        <v>1.8666666666666667</v>
      </c>
      <c r="F1002" s="121">
        <v>0.4</v>
      </c>
      <c r="G1002" s="121">
        <v>17.466666666666665</v>
      </c>
      <c r="H1002" s="157">
        <v>81.06666666666666</v>
      </c>
      <c r="I1002" s="444"/>
      <c r="K1002" s="245"/>
      <c r="L1002" s="175"/>
      <c r="M1002" s="246"/>
      <c r="N1002" s="178"/>
      <c r="O1002" s="20"/>
      <c r="P1002" s="20"/>
      <c r="Q1002" s="20"/>
      <c r="R1002" s="20"/>
      <c r="S1002" s="20"/>
      <c r="T1002" s="20"/>
      <c r="U1002" s="20"/>
      <c r="V1002" s="20"/>
      <c r="W1002" s="20"/>
    </row>
    <row r="1003" spans="1:23" s="13" customFormat="1" ht="30" customHeight="1">
      <c r="A1003" s="504" t="s">
        <v>100</v>
      </c>
      <c r="B1003" s="504"/>
      <c r="C1003" s="504"/>
      <c r="D1003" s="114">
        <v>40</v>
      </c>
      <c r="E1003" s="144"/>
      <c r="F1003" s="144"/>
      <c r="G1003" s="144"/>
      <c r="H1003" s="144"/>
      <c r="I1003" s="443"/>
      <c r="K1003" s="245"/>
      <c r="L1003" s="20"/>
      <c r="M1003" s="245"/>
      <c r="N1003" s="175"/>
      <c r="O1003" s="20"/>
      <c r="P1003" s="20"/>
      <c r="Q1003" s="20"/>
      <c r="R1003" s="20"/>
      <c r="S1003" s="20"/>
      <c r="T1003" s="20"/>
      <c r="U1003" s="20"/>
      <c r="V1003" s="20"/>
      <c r="W1003" s="20"/>
    </row>
    <row r="1004" spans="1:23" s="88" customFormat="1" ht="30" customHeight="1">
      <c r="A1004" s="495" t="s">
        <v>27</v>
      </c>
      <c r="B1004" s="122">
        <v>40</v>
      </c>
      <c r="C1004" s="122">
        <v>40</v>
      </c>
      <c r="D1004" s="61">
        <v>40</v>
      </c>
      <c r="E1004" s="63">
        <v>1.4</v>
      </c>
      <c r="F1004" s="63">
        <v>0.4</v>
      </c>
      <c r="G1004" s="63">
        <v>18.8</v>
      </c>
      <c r="H1004" s="62">
        <v>82</v>
      </c>
      <c r="I1004" s="444"/>
      <c r="J1004" s="13"/>
      <c r="K1004" s="245"/>
      <c r="L1004" s="20"/>
      <c r="M1004" s="244"/>
      <c r="N1004" s="175"/>
      <c r="O1004" s="20"/>
      <c r="P1004" s="20"/>
      <c r="Q1004" s="20"/>
      <c r="R1004" s="97"/>
      <c r="S1004" s="97"/>
      <c r="T1004" s="97"/>
      <c r="U1004" s="97"/>
      <c r="V1004" s="97"/>
      <c r="W1004" s="97"/>
    </row>
    <row r="1005" spans="1:23" s="88" customFormat="1" ht="30" customHeight="1">
      <c r="A1005" s="505" t="s">
        <v>24</v>
      </c>
      <c r="B1005" s="505"/>
      <c r="C1005" s="505"/>
      <c r="D1005" s="505"/>
      <c r="E1005" s="154">
        <f>+E936+E888</f>
        <v>45.906666666666666</v>
      </c>
      <c r="F1005" s="154">
        <f>+F936+F888</f>
        <v>54.419999999999995</v>
      </c>
      <c r="G1005" s="154">
        <f>+G936+G888</f>
        <v>212.78666666666666</v>
      </c>
      <c r="H1005" s="154">
        <f>+H936+H888</f>
        <v>1525.9866666666667</v>
      </c>
      <c r="I1005" s="455"/>
      <c r="J1005" s="13"/>
      <c r="K1005" s="244"/>
      <c r="L1005" s="175"/>
      <c r="M1005" s="244"/>
      <c r="N1005" s="20"/>
      <c r="O1005" s="20"/>
      <c r="P1005" s="20"/>
      <c r="Q1005" s="20"/>
      <c r="R1005" s="97"/>
      <c r="S1005" s="97"/>
      <c r="T1005" s="97"/>
      <c r="U1005" s="97"/>
      <c r="V1005" s="97"/>
      <c r="W1005" s="97"/>
    </row>
    <row r="1006" spans="1:23" s="88" customFormat="1" ht="30" customHeight="1">
      <c r="A1006" s="510" t="s">
        <v>246</v>
      </c>
      <c r="B1006" s="511"/>
      <c r="C1006" s="511"/>
      <c r="D1006" s="511"/>
      <c r="E1006" s="153">
        <f>(+E1005+E883+E782+E676+E598)/5</f>
        <v>52.99466666666666</v>
      </c>
      <c r="F1006" s="153">
        <f>(+F1005+F883+F782+F676+F598)/5</f>
        <v>53.028666666666666</v>
      </c>
      <c r="G1006" s="153">
        <f>(+G1005+G883+G782+G676+G598)/5</f>
        <v>206.154</v>
      </c>
      <c r="H1006" s="153">
        <f>(+H1005+H883+H782+H676+H598)/5</f>
        <v>1510.5233333333333</v>
      </c>
      <c r="I1006" s="503" t="s">
        <v>247</v>
      </c>
      <c r="J1006" s="13"/>
      <c r="K1006" s="244"/>
      <c r="L1006" s="20"/>
      <c r="M1006" s="245"/>
      <c r="N1006" s="175"/>
      <c r="O1006" s="20"/>
      <c r="P1006" s="20"/>
      <c r="Q1006" s="20"/>
      <c r="R1006" s="97"/>
      <c r="S1006" s="97"/>
      <c r="T1006" s="97"/>
      <c r="U1006" s="97"/>
      <c r="V1006" s="97"/>
      <c r="W1006" s="97"/>
    </row>
    <row r="1007" spans="1:23" s="88" customFormat="1" ht="30" customHeight="1">
      <c r="A1007" s="512" t="s">
        <v>248</v>
      </c>
      <c r="B1007" s="511"/>
      <c r="C1007" s="511"/>
      <c r="D1007" s="511"/>
      <c r="E1007" s="374" t="s">
        <v>249</v>
      </c>
      <c r="F1007" s="374" t="s">
        <v>250</v>
      </c>
      <c r="G1007" s="374" t="s">
        <v>251</v>
      </c>
      <c r="H1007" s="374" t="s">
        <v>252</v>
      </c>
      <c r="I1007" s="503"/>
      <c r="J1007" s="13"/>
      <c r="K1007" s="245"/>
      <c r="L1007" s="175"/>
      <c r="M1007" s="245"/>
      <c r="N1007" s="175"/>
      <c r="O1007" s="20"/>
      <c r="P1007" s="20"/>
      <c r="Q1007" s="20"/>
      <c r="R1007" s="97"/>
      <c r="S1007" s="97"/>
      <c r="T1007" s="97"/>
      <c r="U1007" s="97"/>
      <c r="V1007" s="97"/>
      <c r="W1007" s="97"/>
    </row>
    <row r="1008" spans="1:23" s="88" customFormat="1" ht="30" customHeight="1">
      <c r="A1008" s="510" t="s">
        <v>253</v>
      </c>
      <c r="B1008" s="511"/>
      <c r="C1008" s="511"/>
      <c r="D1008" s="511"/>
      <c r="E1008" s="153">
        <v>90</v>
      </c>
      <c r="F1008" s="153">
        <v>92</v>
      </c>
      <c r="G1008" s="153">
        <v>383</v>
      </c>
      <c r="H1008" s="153">
        <v>2720</v>
      </c>
      <c r="I1008" s="503"/>
      <c r="J1008" s="13"/>
      <c r="K1008" s="245"/>
      <c r="L1008" s="175"/>
      <c r="M1008" s="245"/>
      <c r="N1008" s="248"/>
      <c r="O1008" s="20"/>
      <c r="P1008" s="20"/>
      <c r="Q1008" s="20"/>
      <c r="R1008" s="97"/>
      <c r="S1008" s="97"/>
      <c r="T1008" s="97"/>
      <c r="U1008" s="97"/>
      <c r="V1008" s="97"/>
      <c r="W1008" s="97"/>
    </row>
    <row r="1009" spans="1:23" s="88" customFormat="1" ht="30" customHeight="1">
      <c r="A1009" s="500" t="s">
        <v>492</v>
      </c>
      <c r="B1009" s="501"/>
      <c r="C1009" s="501"/>
      <c r="D1009" s="501"/>
      <c r="E1009" s="501"/>
      <c r="F1009" s="501"/>
      <c r="G1009" s="501"/>
      <c r="H1009" s="501"/>
      <c r="I1009" s="502"/>
      <c r="J1009" s="142"/>
      <c r="K1009" s="245"/>
      <c r="L1009" s="175"/>
      <c r="M1009" s="247"/>
      <c r="N1009" s="425"/>
      <c r="O1009" s="205"/>
      <c r="P1009" s="205"/>
      <c r="Q1009" s="205"/>
      <c r="R1009" s="97"/>
      <c r="S1009" s="97"/>
      <c r="T1009" s="97"/>
      <c r="U1009" s="97"/>
      <c r="V1009" s="97"/>
      <c r="W1009" s="97"/>
    </row>
    <row r="1010" spans="1:23" s="13" customFormat="1" ht="30" customHeight="1">
      <c r="A1010" s="179"/>
      <c r="B1010" s="180"/>
      <c r="C1010" s="180"/>
      <c r="D1010" s="180"/>
      <c r="E1010" s="257"/>
      <c r="F1010" s="257"/>
      <c r="G1010" s="257"/>
      <c r="H1010" s="257"/>
      <c r="I1010" s="487"/>
      <c r="J1010" s="88"/>
      <c r="K1010" s="20"/>
      <c r="L1010" s="20"/>
      <c r="M1010" s="245"/>
      <c r="N1010" s="426"/>
      <c r="O1010" s="97"/>
      <c r="P1010" s="97"/>
      <c r="Q1010" s="97"/>
      <c r="R1010" s="20"/>
      <c r="S1010" s="20"/>
      <c r="T1010" s="20"/>
      <c r="U1010" s="20"/>
      <c r="V1010" s="20"/>
      <c r="W1010" s="20"/>
    </row>
    <row r="1011" spans="1:23" s="13" customFormat="1" ht="30" customHeight="1">
      <c r="A1011" s="179"/>
      <c r="B1011" s="180"/>
      <c r="C1011" s="180"/>
      <c r="D1011" s="180"/>
      <c r="E1011" s="255"/>
      <c r="F1011" s="255"/>
      <c r="G1011" s="255"/>
      <c r="H1011" s="270"/>
      <c r="I1011" s="488"/>
      <c r="M1011" s="245"/>
      <c r="N1011" s="426"/>
      <c r="O1011" s="20"/>
      <c r="P1011" s="20"/>
      <c r="Q1011" s="20"/>
      <c r="R1011" s="20"/>
      <c r="S1011" s="20"/>
      <c r="T1011" s="20"/>
      <c r="U1011" s="20"/>
      <c r="V1011" s="20"/>
      <c r="W1011" s="20"/>
    </row>
    <row r="1012" spans="1:23" s="13" customFormat="1" ht="30" customHeight="1">
      <c r="A1012" s="179"/>
      <c r="B1012" s="180"/>
      <c r="C1012" s="180"/>
      <c r="D1012" s="180"/>
      <c r="E1012" s="257"/>
      <c r="F1012" s="257"/>
      <c r="G1012" s="257"/>
      <c r="H1012" s="257"/>
      <c r="I1012" s="487"/>
      <c r="M1012" s="20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</row>
    <row r="1013" spans="1:23" s="13" customFormat="1" ht="30" customHeight="1">
      <c r="A1013" s="179"/>
      <c r="B1013" s="180"/>
      <c r="C1013" s="180"/>
      <c r="D1013" s="180"/>
      <c r="E1013" s="255"/>
      <c r="F1013" s="255"/>
      <c r="G1013" s="255"/>
      <c r="H1013" s="255"/>
      <c r="I1013" s="489"/>
      <c r="M1013" s="244"/>
      <c r="N1013" s="427"/>
      <c r="O1013" s="20"/>
      <c r="P1013" s="20"/>
      <c r="Q1013" s="20"/>
      <c r="R1013" s="20"/>
      <c r="S1013" s="20"/>
      <c r="T1013" s="20"/>
      <c r="U1013" s="20"/>
      <c r="V1013" s="20"/>
      <c r="W1013" s="20"/>
    </row>
    <row r="1014" spans="1:23" s="13" customFormat="1" ht="30" customHeight="1">
      <c r="A1014" s="179"/>
      <c r="B1014" s="180"/>
      <c r="C1014" s="180"/>
      <c r="D1014" s="180"/>
      <c r="E1014" s="255"/>
      <c r="F1014" s="255"/>
      <c r="G1014" s="255"/>
      <c r="H1014" s="255"/>
      <c r="I1014" s="489"/>
      <c r="M1014" s="244"/>
      <c r="N1014" s="427"/>
      <c r="O1014" s="20"/>
      <c r="P1014" s="20"/>
      <c r="Q1014" s="20"/>
      <c r="R1014" s="20"/>
      <c r="S1014" s="20"/>
      <c r="T1014" s="20"/>
      <c r="U1014" s="20"/>
      <c r="V1014" s="20"/>
      <c r="W1014" s="20"/>
    </row>
    <row r="1015" spans="1:23" s="88" customFormat="1" ht="30" customHeight="1">
      <c r="A1015" s="179"/>
      <c r="B1015" s="180"/>
      <c r="C1015" s="180"/>
      <c r="D1015" s="180"/>
      <c r="E1015" s="255"/>
      <c r="F1015" s="255"/>
      <c r="G1015" s="255"/>
      <c r="H1015" s="255"/>
      <c r="I1015" s="489"/>
      <c r="J1015" s="13"/>
      <c r="K1015" s="13"/>
      <c r="L1015" s="13"/>
      <c r="M1015" s="245"/>
      <c r="N1015" s="428"/>
      <c r="O1015" s="20"/>
      <c r="P1015" s="20"/>
      <c r="Q1015" s="20"/>
      <c r="R1015" s="97"/>
      <c r="S1015" s="97"/>
      <c r="T1015" s="97"/>
      <c r="U1015" s="97"/>
      <c r="V1015" s="97"/>
      <c r="W1015" s="97"/>
    </row>
    <row r="1016" spans="1:23" s="88" customFormat="1" ht="30" customHeight="1">
      <c r="A1016" s="179"/>
      <c r="B1016" s="180"/>
      <c r="C1016" s="180"/>
      <c r="D1016" s="180"/>
      <c r="E1016" s="255"/>
      <c r="F1016" s="255"/>
      <c r="G1016" s="255"/>
      <c r="H1016" s="255"/>
      <c r="I1016" s="489"/>
      <c r="J1016" s="13"/>
      <c r="K1016" s="13"/>
      <c r="L1016" s="13"/>
      <c r="M1016" s="245"/>
      <c r="N1016" s="428"/>
      <c r="O1016" s="20"/>
      <c r="P1016" s="20"/>
      <c r="Q1016" s="20"/>
      <c r="R1016" s="97"/>
      <c r="S1016" s="97"/>
      <c r="T1016" s="97"/>
      <c r="U1016" s="97"/>
      <c r="V1016" s="97"/>
      <c r="W1016" s="97"/>
    </row>
    <row r="1017" spans="1:23" s="13" customFormat="1" ht="30" customHeight="1">
      <c r="A1017" s="179"/>
      <c r="B1017" s="180"/>
      <c r="C1017" s="180"/>
      <c r="D1017" s="180"/>
      <c r="E1017" s="255"/>
      <c r="F1017" s="255"/>
      <c r="G1017" s="255"/>
      <c r="H1017" s="255"/>
      <c r="I1017" s="489"/>
      <c r="M1017" s="245"/>
      <c r="N1017" s="428"/>
      <c r="O1017" s="20"/>
      <c r="P1017" s="20"/>
      <c r="Q1017" s="20"/>
      <c r="R1017" s="20"/>
      <c r="S1017" s="20"/>
      <c r="T1017" s="20"/>
      <c r="U1017" s="20"/>
      <c r="V1017" s="20"/>
      <c r="W1017" s="20"/>
    </row>
    <row r="1018" spans="1:23" s="13" customFormat="1" ht="30" customHeight="1">
      <c r="A1018" s="179"/>
      <c r="B1018" s="180"/>
      <c r="C1018" s="180"/>
      <c r="D1018" s="180"/>
      <c r="E1018" s="255"/>
      <c r="F1018" s="255"/>
      <c r="G1018" s="255"/>
      <c r="H1018" s="255"/>
      <c r="I1018" s="489"/>
      <c r="M1018" s="245"/>
      <c r="N1018" s="427"/>
      <c r="O1018" s="20"/>
      <c r="P1018" s="20"/>
      <c r="Q1018" s="20"/>
      <c r="R1018" s="20"/>
      <c r="S1018" s="20"/>
      <c r="T1018" s="20"/>
      <c r="U1018" s="20"/>
      <c r="V1018" s="20"/>
      <c r="W1018" s="20"/>
    </row>
    <row r="1019" spans="1:23" s="88" customFormat="1" ht="30" customHeight="1">
      <c r="A1019" s="179"/>
      <c r="B1019" s="180"/>
      <c r="C1019" s="180"/>
      <c r="D1019" s="180"/>
      <c r="E1019" s="255"/>
      <c r="F1019" s="255"/>
      <c r="G1019" s="255"/>
      <c r="H1019" s="255"/>
      <c r="I1019" s="489"/>
      <c r="J1019" s="13"/>
      <c r="K1019" s="13"/>
      <c r="L1019" s="13"/>
      <c r="M1019" s="245"/>
      <c r="N1019" s="427"/>
      <c r="O1019" s="20"/>
      <c r="P1019" s="20"/>
      <c r="Q1019" s="20"/>
      <c r="R1019" s="97"/>
      <c r="S1019" s="97"/>
      <c r="T1019" s="97"/>
      <c r="U1019" s="97"/>
      <c r="V1019" s="97"/>
      <c r="W1019" s="97"/>
    </row>
    <row r="1020" spans="1:23" s="88" customFormat="1" ht="30" customHeight="1">
      <c r="A1020" s="179"/>
      <c r="B1020" s="180"/>
      <c r="C1020" s="180"/>
      <c r="D1020" s="180"/>
      <c r="E1020" s="255"/>
      <c r="F1020" s="255"/>
      <c r="G1020" s="255"/>
      <c r="H1020" s="255"/>
      <c r="I1020" s="489"/>
      <c r="J1020" s="13"/>
      <c r="K1020" s="13"/>
      <c r="L1020" s="13"/>
      <c r="M1020" s="247"/>
      <c r="N1020" s="429"/>
      <c r="O1020" s="20"/>
      <c r="P1020" s="20"/>
      <c r="Q1020" s="20"/>
      <c r="R1020" s="97"/>
      <c r="S1020" s="97"/>
      <c r="T1020" s="97"/>
      <c r="U1020" s="97"/>
      <c r="V1020" s="97"/>
      <c r="W1020" s="97"/>
    </row>
    <row r="1021" spans="1:23" s="88" customFormat="1" ht="30" customHeight="1">
      <c r="A1021" s="179"/>
      <c r="B1021" s="180"/>
      <c r="C1021" s="180"/>
      <c r="D1021" s="180"/>
      <c r="E1021" s="255"/>
      <c r="F1021" s="255"/>
      <c r="G1021" s="255"/>
      <c r="H1021" s="255"/>
      <c r="I1021" s="489"/>
      <c r="J1021" s="13"/>
      <c r="K1021" s="13"/>
      <c r="L1021" s="13"/>
      <c r="M1021" s="244"/>
      <c r="N1021" s="427"/>
      <c r="O1021" s="20"/>
      <c r="P1021" s="20"/>
      <c r="Q1021" s="20"/>
      <c r="R1021" s="97"/>
      <c r="S1021" s="97"/>
      <c r="T1021" s="97"/>
      <c r="U1021" s="97"/>
      <c r="V1021" s="97"/>
      <c r="W1021" s="97"/>
    </row>
    <row r="1022" spans="1:23" s="88" customFormat="1" ht="30" customHeight="1">
      <c r="A1022" s="179"/>
      <c r="B1022" s="180"/>
      <c r="C1022" s="180"/>
      <c r="D1022" s="180"/>
      <c r="E1022" s="255"/>
      <c r="F1022" s="255"/>
      <c r="G1022" s="255"/>
      <c r="H1022" s="255"/>
      <c r="I1022" s="489"/>
      <c r="J1022" s="13"/>
      <c r="K1022" s="13"/>
      <c r="L1022" s="13"/>
      <c r="M1022" s="244"/>
      <c r="N1022" s="248"/>
      <c r="O1022" s="20"/>
      <c r="P1022" s="20"/>
      <c r="Q1022" s="20"/>
      <c r="R1022" s="97"/>
      <c r="S1022" s="97"/>
      <c r="T1022" s="97"/>
      <c r="U1022" s="97"/>
      <c r="V1022" s="97"/>
      <c r="W1022" s="97"/>
    </row>
    <row r="1023" spans="1:23" s="88" customFormat="1" ht="30" customHeight="1">
      <c r="A1023" s="179"/>
      <c r="B1023" s="180"/>
      <c r="C1023" s="180"/>
      <c r="D1023" s="180"/>
      <c r="E1023" s="255"/>
      <c r="F1023" s="255"/>
      <c r="G1023" s="255"/>
      <c r="H1023" s="255"/>
      <c r="I1023" s="489"/>
      <c r="J1023" s="13"/>
      <c r="K1023" s="13"/>
      <c r="L1023" s="13"/>
      <c r="M1023" s="245"/>
      <c r="N1023" s="427"/>
      <c r="O1023" s="20"/>
      <c r="P1023" s="20"/>
      <c r="Q1023" s="20"/>
      <c r="R1023" s="97"/>
      <c r="S1023" s="97"/>
      <c r="T1023" s="97"/>
      <c r="U1023" s="97"/>
      <c r="V1023" s="97"/>
      <c r="W1023" s="97"/>
    </row>
    <row r="1024" spans="1:23" s="88" customFormat="1" ht="30" customHeight="1">
      <c r="A1024" s="179"/>
      <c r="B1024" s="180"/>
      <c r="C1024" s="180"/>
      <c r="D1024" s="180"/>
      <c r="E1024" s="255"/>
      <c r="F1024" s="255"/>
      <c r="G1024" s="255"/>
      <c r="H1024" s="255"/>
      <c r="I1024" s="489"/>
      <c r="J1024" s="13"/>
      <c r="K1024" s="13"/>
      <c r="L1024" s="13"/>
      <c r="M1024" s="245"/>
      <c r="N1024" s="427"/>
      <c r="O1024" s="20"/>
      <c r="P1024" s="20"/>
      <c r="Q1024" s="20"/>
      <c r="R1024" s="97"/>
      <c r="S1024" s="97"/>
      <c r="T1024" s="97"/>
      <c r="U1024" s="97"/>
      <c r="V1024" s="97"/>
      <c r="W1024" s="97"/>
    </row>
    <row r="1025" spans="1:23" s="13" customFormat="1" ht="30" customHeight="1">
      <c r="A1025" s="179"/>
      <c r="B1025" s="180"/>
      <c r="C1025" s="180"/>
      <c r="D1025" s="180"/>
      <c r="E1025" s="255"/>
      <c r="F1025" s="255"/>
      <c r="G1025" s="255"/>
      <c r="H1025" s="255"/>
      <c r="I1025" s="489"/>
      <c r="M1025" s="245"/>
      <c r="N1025" s="427"/>
      <c r="O1025" s="20"/>
      <c r="P1025" s="20"/>
      <c r="Q1025" s="20"/>
      <c r="R1025" s="20"/>
      <c r="S1025" s="20"/>
      <c r="T1025" s="20"/>
      <c r="U1025" s="20"/>
      <c r="V1025" s="20"/>
      <c r="W1025" s="20"/>
    </row>
    <row r="1026" spans="1:23" s="13" customFormat="1" ht="30" customHeight="1">
      <c r="A1026" s="179"/>
      <c r="B1026" s="180"/>
      <c r="C1026" s="180"/>
      <c r="D1026" s="180"/>
      <c r="E1026" s="255"/>
      <c r="F1026" s="255"/>
      <c r="G1026" s="255"/>
      <c r="H1026" s="255"/>
      <c r="I1026" s="489"/>
      <c r="P1026" s="20"/>
      <c r="Q1026" s="20"/>
      <c r="R1026" s="20"/>
      <c r="S1026" s="20"/>
      <c r="T1026" s="20"/>
      <c r="U1026" s="20"/>
      <c r="V1026" s="20"/>
      <c r="W1026" s="20"/>
    </row>
    <row r="1027" spans="1:23" s="13" customFormat="1" ht="30" customHeight="1">
      <c r="A1027" s="179"/>
      <c r="B1027" s="180"/>
      <c r="C1027" s="180"/>
      <c r="D1027" s="180"/>
      <c r="E1027" s="255"/>
      <c r="F1027" s="255"/>
      <c r="G1027" s="255"/>
      <c r="H1027" s="255"/>
      <c r="I1027" s="489"/>
      <c r="P1027" s="20"/>
      <c r="Q1027" s="20"/>
      <c r="R1027" s="20"/>
      <c r="S1027" s="20"/>
      <c r="T1027" s="20"/>
      <c r="U1027" s="20"/>
      <c r="V1027" s="20"/>
      <c r="W1027" s="20"/>
    </row>
    <row r="1028" spans="1:23" s="88" customFormat="1" ht="30" customHeight="1">
      <c r="A1028" s="179"/>
      <c r="B1028" s="180"/>
      <c r="C1028" s="180"/>
      <c r="D1028" s="180"/>
      <c r="E1028" s="255"/>
      <c r="F1028" s="255"/>
      <c r="G1028" s="255"/>
      <c r="H1028" s="255"/>
      <c r="I1028" s="489"/>
      <c r="J1028" s="13"/>
      <c r="K1028" s="13"/>
      <c r="L1028" s="13"/>
      <c r="M1028" s="13"/>
      <c r="N1028" s="13"/>
      <c r="O1028" s="13"/>
      <c r="P1028" s="20"/>
      <c r="Q1028" s="20"/>
      <c r="R1028" s="97"/>
      <c r="S1028" s="97"/>
      <c r="T1028" s="97"/>
      <c r="U1028" s="97"/>
      <c r="V1028" s="97"/>
      <c r="W1028" s="97"/>
    </row>
    <row r="1029" spans="1:23" s="88" customFormat="1" ht="30" customHeight="1">
      <c r="A1029" s="179"/>
      <c r="B1029" s="180"/>
      <c r="C1029" s="180"/>
      <c r="D1029" s="180"/>
      <c r="E1029" s="255"/>
      <c r="F1029" s="255"/>
      <c r="G1029" s="255"/>
      <c r="H1029" s="255"/>
      <c r="I1029" s="489"/>
      <c r="J1029" s="13"/>
      <c r="K1029" s="13"/>
      <c r="L1029" s="13"/>
      <c r="M1029" s="13"/>
      <c r="N1029" s="13"/>
      <c r="O1029" s="13"/>
      <c r="P1029" s="20"/>
      <c r="Q1029" s="20"/>
      <c r="R1029" s="97"/>
      <c r="S1029" s="97"/>
      <c r="T1029" s="97"/>
      <c r="U1029" s="97"/>
      <c r="V1029" s="97"/>
      <c r="W1029" s="97"/>
    </row>
    <row r="1030" spans="1:23" s="88" customFormat="1" ht="30" customHeight="1">
      <c r="A1030" s="179"/>
      <c r="B1030" s="180"/>
      <c r="C1030" s="180"/>
      <c r="D1030" s="180"/>
      <c r="E1030" s="255"/>
      <c r="F1030" s="255"/>
      <c r="G1030" s="255"/>
      <c r="H1030" s="255"/>
      <c r="I1030" s="489"/>
      <c r="K1030" s="13"/>
      <c r="L1030" s="13"/>
      <c r="M1030" s="13"/>
      <c r="P1030" s="97"/>
      <c r="Q1030" s="97"/>
      <c r="R1030" s="97"/>
      <c r="S1030" s="97"/>
      <c r="T1030" s="97"/>
      <c r="U1030" s="97"/>
      <c r="V1030" s="97"/>
      <c r="W1030" s="97"/>
    </row>
    <row r="1031" spans="1:23" s="88" customFormat="1" ht="30" customHeight="1">
      <c r="A1031" s="179"/>
      <c r="B1031" s="180"/>
      <c r="C1031" s="180"/>
      <c r="D1031" s="180"/>
      <c r="E1031" s="255"/>
      <c r="F1031" s="255"/>
      <c r="G1031" s="255"/>
      <c r="H1031" s="255"/>
      <c r="I1031" s="489"/>
      <c r="J1031" s="13"/>
      <c r="K1031" s="13"/>
      <c r="L1031" s="13"/>
      <c r="M1031" s="13"/>
      <c r="N1031" s="13"/>
      <c r="O1031" s="13"/>
      <c r="P1031" s="20"/>
      <c r="Q1031" s="20"/>
      <c r="R1031" s="97"/>
      <c r="S1031" s="97"/>
      <c r="T1031" s="97"/>
      <c r="U1031" s="97"/>
      <c r="V1031" s="97"/>
      <c r="W1031" s="97"/>
    </row>
    <row r="1032" spans="1:23" s="13" customFormat="1" ht="30" customHeight="1">
      <c r="A1032" s="179"/>
      <c r="B1032" s="180"/>
      <c r="C1032" s="180"/>
      <c r="D1032" s="180"/>
      <c r="E1032" s="255"/>
      <c r="F1032" s="255"/>
      <c r="G1032" s="255"/>
      <c r="H1032" s="255"/>
      <c r="I1032" s="489"/>
      <c r="P1032" s="20"/>
      <c r="Q1032" s="20"/>
      <c r="R1032" s="20"/>
      <c r="S1032" s="20"/>
      <c r="T1032" s="20"/>
      <c r="U1032" s="20"/>
      <c r="V1032" s="20"/>
      <c r="W1032" s="20"/>
    </row>
    <row r="1033" spans="1:23" s="13" customFormat="1" ht="30" customHeight="1">
      <c r="A1033" s="179"/>
      <c r="B1033" s="180"/>
      <c r="C1033" s="180"/>
      <c r="D1033" s="180"/>
      <c r="E1033" s="255"/>
      <c r="F1033" s="255"/>
      <c r="G1033" s="255"/>
      <c r="H1033" s="255"/>
      <c r="I1033" s="489"/>
      <c r="P1033" s="20"/>
      <c r="Q1033" s="20"/>
      <c r="R1033" s="20"/>
      <c r="S1033" s="20"/>
      <c r="T1033" s="20"/>
      <c r="U1033" s="20"/>
      <c r="V1033" s="20"/>
      <c r="W1033" s="20"/>
    </row>
    <row r="1034" spans="1:23" s="88" customFormat="1" ht="30" customHeight="1">
      <c r="A1034" s="179"/>
      <c r="B1034" s="180"/>
      <c r="C1034" s="180"/>
      <c r="D1034" s="180"/>
      <c r="E1034" s="255"/>
      <c r="F1034" s="255"/>
      <c r="G1034" s="255"/>
      <c r="H1034" s="255"/>
      <c r="I1034" s="489"/>
      <c r="J1034" s="13"/>
      <c r="K1034" s="13"/>
      <c r="L1034" s="13"/>
      <c r="M1034" s="13"/>
      <c r="N1034" s="13"/>
      <c r="O1034" s="13"/>
      <c r="P1034" s="20"/>
      <c r="Q1034" s="20"/>
      <c r="R1034" s="97"/>
      <c r="S1034" s="97"/>
      <c r="T1034" s="97"/>
      <c r="U1034" s="97"/>
      <c r="V1034" s="97"/>
      <c r="W1034" s="97"/>
    </row>
    <row r="1035" spans="1:23" s="88" customFormat="1" ht="30" customHeight="1">
      <c r="A1035" s="179"/>
      <c r="B1035" s="180"/>
      <c r="C1035" s="180"/>
      <c r="D1035" s="180"/>
      <c r="E1035" s="255"/>
      <c r="F1035" s="255"/>
      <c r="G1035" s="255"/>
      <c r="H1035" s="255"/>
      <c r="I1035" s="489"/>
      <c r="J1035" s="13"/>
      <c r="K1035" s="13"/>
      <c r="L1035" s="13"/>
      <c r="M1035" s="13"/>
      <c r="N1035" s="13"/>
      <c r="O1035" s="13"/>
      <c r="P1035" s="20"/>
      <c r="Q1035" s="20"/>
      <c r="R1035" s="97"/>
      <c r="S1035" s="97"/>
      <c r="T1035" s="97"/>
      <c r="U1035" s="97"/>
      <c r="V1035" s="97"/>
      <c r="W1035" s="97"/>
    </row>
    <row r="1036" spans="1:23" s="88" customFormat="1" ht="30" customHeight="1">
      <c r="A1036" s="179"/>
      <c r="B1036" s="180"/>
      <c r="C1036" s="180"/>
      <c r="D1036" s="180"/>
      <c r="E1036" s="255"/>
      <c r="F1036" s="255"/>
      <c r="G1036" s="255"/>
      <c r="H1036" s="255"/>
      <c r="I1036" s="489"/>
      <c r="J1036" s="13"/>
      <c r="K1036" s="13"/>
      <c r="L1036" s="13"/>
      <c r="M1036" s="13"/>
      <c r="N1036" s="13"/>
      <c r="O1036" s="13"/>
      <c r="P1036" s="20"/>
      <c r="Q1036" s="20"/>
      <c r="R1036" s="97"/>
      <c r="S1036" s="97"/>
      <c r="T1036" s="97"/>
      <c r="U1036" s="97"/>
      <c r="V1036" s="97"/>
      <c r="W1036" s="97"/>
    </row>
    <row r="1037" spans="1:23" s="13" customFormat="1" ht="30" customHeight="1">
      <c r="A1037" s="179"/>
      <c r="B1037" s="180"/>
      <c r="C1037" s="180"/>
      <c r="D1037" s="180"/>
      <c r="E1037" s="255"/>
      <c r="F1037" s="255"/>
      <c r="G1037" s="255"/>
      <c r="H1037" s="255"/>
      <c r="I1037" s="489"/>
      <c r="P1037" s="20"/>
      <c r="Q1037" s="20"/>
      <c r="R1037" s="20"/>
      <c r="S1037" s="20"/>
      <c r="T1037" s="20"/>
      <c r="U1037" s="20"/>
      <c r="V1037" s="20"/>
      <c r="W1037" s="20"/>
    </row>
    <row r="1038" spans="1:23" s="13" customFormat="1" ht="30" customHeight="1">
      <c r="A1038" s="179"/>
      <c r="B1038" s="180"/>
      <c r="C1038" s="180"/>
      <c r="D1038" s="180"/>
      <c r="E1038" s="255"/>
      <c r="F1038" s="255"/>
      <c r="G1038" s="255"/>
      <c r="H1038" s="255"/>
      <c r="I1038" s="489"/>
      <c r="J1038" s="88"/>
      <c r="N1038" s="88"/>
      <c r="O1038" s="88"/>
      <c r="P1038" s="97"/>
      <c r="Q1038" s="97"/>
      <c r="R1038" s="20"/>
      <c r="S1038" s="20"/>
      <c r="T1038" s="20"/>
      <c r="U1038" s="20"/>
      <c r="V1038" s="20"/>
      <c r="W1038" s="20"/>
    </row>
    <row r="1039" spans="1:23" s="88" customFormat="1" ht="30" customHeight="1">
      <c r="A1039" s="179"/>
      <c r="B1039" s="180"/>
      <c r="C1039" s="180"/>
      <c r="D1039" s="180"/>
      <c r="E1039" s="255"/>
      <c r="F1039" s="255"/>
      <c r="G1039" s="255"/>
      <c r="H1039" s="255"/>
      <c r="I1039" s="489"/>
      <c r="J1039" s="13"/>
      <c r="K1039" s="13"/>
      <c r="L1039" s="13"/>
      <c r="M1039" s="13"/>
      <c r="N1039" s="13"/>
      <c r="O1039" s="13"/>
      <c r="P1039" s="20"/>
      <c r="Q1039" s="20"/>
      <c r="R1039" s="97"/>
      <c r="S1039" s="97"/>
      <c r="T1039" s="97"/>
      <c r="U1039" s="97"/>
      <c r="V1039" s="97"/>
      <c r="W1039" s="97"/>
    </row>
    <row r="1040" spans="1:23" s="88" customFormat="1" ht="30" customHeight="1">
      <c r="A1040" s="179"/>
      <c r="B1040" s="180"/>
      <c r="C1040" s="180"/>
      <c r="D1040" s="180"/>
      <c r="E1040" s="255"/>
      <c r="F1040" s="255"/>
      <c r="G1040" s="255"/>
      <c r="H1040" s="255"/>
      <c r="I1040" s="489"/>
      <c r="J1040" s="13"/>
      <c r="K1040" s="13"/>
      <c r="L1040" s="13"/>
      <c r="M1040" s="13"/>
      <c r="N1040" s="13"/>
      <c r="O1040" s="13"/>
      <c r="P1040" s="20"/>
      <c r="Q1040" s="20"/>
      <c r="R1040" s="97"/>
      <c r="S1040" s="97"/>
      <c r="T1040" s="97"/>
      <c r="U1040" s="97"/>
      <c r="V1040" s="97"/>
      <c r="W1040" s="97"/>
    </row>
    <row r="1041" spans="1:23" s="88" customFormat="1" ht="30" customHeight="1">
      <c r="A1041" s="179"/>
      <c r="B1041" s="180"/>
      <c r="C1041" s="180"/>
      <c r="D1041" s="180"/>
      <c r="E1041" s="255"/>
      <c r="F1041" s="255"/>
      <c r="G1041" s="255"/>
      <c r="H1041" s="255"/>
      <c r="I1041" s="489"/>
      <c r="K1041" s="13"/>
      <c r="L1041" s="13"/>
      <c r="M1041" s="13"/>
      <c r="P1041" s="97"/>
      <c r="Q1041" s="97"/>
      <c r="R1041" s="97"/>
      <c r="S1041" s="97"/>
      <c r="T1041" s="97"/>
      <c r="U1041" s="97"/>
      <c r="V1041" s="97"/>
      <c r="W1041" s="97"/>
    </row>
    <row r="1042" spans="1:23" s="88" customFormat="1" ht="30" customHeight="1">
      <c r="A1042" s="179"/>
      <c r="B1042" s="180"/>
      <c r="C1042" s="180"/>
      <c r="D1042" s="180"/>
      <c r="E1042" s="255"/>
      <c r="F1042" s="255"/>
      <c r="G1042" s="255"/>
      <c r="H1042" s="255"/>
      <c r="I1042" s="489"/>
      <c r="K1042" s="13"/>
      <c r="L1042" s="13"/>
      <c r="M1042" s="13"/>
      <c r="P1042" s="97"/>
      <c r="Q1042" s="97"/>
      <c r="R1042" s="97"/>
      <c r="S1042" s="97"/>
      <c r="T1042" s="97"/>
      <c r="U1042" s="97"/>
      <c r="V1042" s="97"/>
      <c r="W1042" s="97"/>
    </row>
    <row r="1043" spans="1:23" s="13" customFormat="1" ht="30" customHeight="1">
      <c r="A1043" s="179"/>
      <c r="B1043" s="180"/>
      <c r="C1043" s="180"/>
      <c r="D1043" s="180"/>
      <c r="E1043" s="255"/>
      <c r="F1043" s="255"/>
      <c r="G1043" s="255"/>
      <c r="H1043" s="255"/>
      <c r="I1043" s="489"/>
      <c r="J1043" s="88"/>
      <c r="N1043" s="88"/>
      <c r="O1043" s="88"/>
      <c r="P1043" s="97"/>
      <c r="Q1043" s="97"/>
      <c r="R1043" s="20"/>
      <c r="S1043" s="20"/>
      <c r="T1043" s="20"/>
      <c r="U1043" s="20"/>
      <c r="V1043" s="20"/>
      <c r="W1043" s="20"/>
    </row>
    <row r="1044" spans="1:23" s="88" customFormat="1" ht="30" customHeight="1">
      <c r="A1044" s="179"/>
      <c r="B1044" s="180"/>
      <c r="C1044" s="180"/>
      <c r="D1044" s="180"/>
      <c r="E1044" s="255"/>
      <c r="F1044" s="255"/>
      <c r="G1044" s="255"/>
      <c r="H1044" s="255"/>
      <c r="I1044" s="489"/>
      <c r="K1044" s="13"/>
      <c r="L1044" s="13"/>
      <c r="M1044" s="13"/>
      <c r="P1044" s="97"/>
      <c r="Q1044" s="97"/>
      <c r="R1044" s="97"/>
      <c r="S1044" s="97"/>
      <c r="T1044" s="97"/>
      <c r="U1044" s="97"/>
      <c r="V1044" s="97"/>
      <c r="W1044" s="97"/>
    </row>
    <row r="1045" spans="1:23" s="88" customFormat="1" ht="30" customHeight="1">
      <c r="A1045" s="179"/>
      <c r="B1045" s="180"/>
      <c r="C1045" s="180"/>
      <c r="D1045" s="180"/>
      <c r="E1045" s="255"/>
      <c r="F1045" s="255"/>
      <c r="G1045" s="255"/>
      <c r="H1045" s="255"/>
      <c r="I1045" s="489"/>
      <c r="K1045" s="13"/>
      <c r="L1045" s="13"/>
      <c r="M1045" s="13"/>
      <c r="P1045" s="97"/>
      <c r="Q1045" s="97"/>
      <c r="R1045" s="97"/>
      <c r="S1045" s="97"/>
      <c r="T1045" s="97"/>
      <c r="U1045" s="97"/>
      <c r="V1045" s="97"/>
      <c r="W1045" s="97"/>
    </row>
    <row r="1046" spans="1:13" s="88" customFormat="1" ht="30" customHeight="1">
      <c r="A1046" s="179"/>
      <c r="B1046" s="180"/>
      <c r="C1046" s="180"/>
      <c r="D1046" s="180"/>
      <c r="E1046" s="255"/>
      <c r="F1046" s="255"/>
      <c r="G1046" s="255"/>
      <c r="H1046" s="255"/>
      <c r="I1046" s="489"/>
      <c r="K1046" s="13"/>
      <c r="L1046" s="13"/>
      <c r="M1046" s="13"/>
    </row>
    <row r="1047" spans="1:17" s="88" customFormat="1" ht="30" customHeight="1">
      <c r="A1047" s="179"/>
      <c r="B1047" s="180"/>
      <c r="C1047" s="180"/>
      <c r="D1047" s="180"/>
      <c r="E1047" s="255"/>
      <c r="F1047" s="255"/>
      <c r="G1047" s="255"/>
      <c r="H1047" s="255"/>
      <c r="I1047" s="489"/>
      <c r="J1047" s="13"/>
      <c r="K1047" s="13"/>
      <c r="L1047" s="13"/>
      <c r="M1047" s="13"/>
      <c r="N1047" s="13"/>
      <c r="O1047" s="13"/>
      <c r="P1047" s="13"/>
      <c r="Q1047" s="13"/>
    </row>
    <row r="1048" spans="1:9" s="13" customFormat="1" ht="30" customHeight="1">
      <c r="A1048" s="179"/>
      <c r="B1048" s="180"/>
      <c r="C1048" s="180"/>
      <c r="D1048" s="180"/>
      <c r="E1048" s="255"/>
      <c r="F1048" s="255"/>
      <c r="G1048" s="255"/>
      <c r="H1048" s="255"/>
      <c r="I1048" s="489"/>
    </row>
    <row r="1049" spans="1:9" s="13" customFormat="1" ht="30" customHeight="1">
      <c r="A1049" s="179"/>
      <c r="B1049" s="180"/>
      <c r="C1049" s="180"/>
      <c r="D1049" s="180"/>
      <c r="E1049" s="255"/>
      <c r="F1049" s="255"/>
      <c r="G1049" s="255"/>
      <c r="H1049" s="255"/>
      <c r="I1049" s="489"/>
    </row>
    <row r="1050" spans="1:9" s="13" customFormat="1" ht="30" customHeight="1">
      <c r="A1050" s="179"/>
      <c r="B1050" s="180"/>
      <c r="C1050" s="180"/>
      <c r="D1050" s="180"/>
      <c r="E1050" s="255"/>
      <c r="F1050" s="255"/>
      <c r="G1050" s="255"/>
      <c r="H1050" s="255"/>
      <c r="I1050" s="489"/>
    </row>
    <row r="1051" spans="1:17" s="13" customFormat="1" ht="30" customHeight="1">
      <c r="A1051" s="179"/>
      <c r="B1051" s="180"/>
      <c r="C1051" s="180"/>
      <c r="D1051" s="180"/>
      <c r="E1051" s="255"/>
      <c r="F1051" s="255"/>
      <c r="G1051" s="255"/>
      <c r="H1051" s="255"/>
      <c r="I1051" s="489"/>
      <c r="J1051" s="88"/>
      <c r="N1051" s="88"/>
      <c r="O1051" s="88"/>
      <c r="P1051" s="88"/>
      <c r="Q1051" s="88"/>
    </row>
    <row r="1052" spans="1:17" s="13" customFormat="1" ht="30" customHeight="1">
      <c r="A1052" s="179"/>
      <c r="B1052" s="180"/>
      <c r="C1052" s="180"/>
      <c r="D1052" s="180"/>
      <c r="E1052" s="255"/>
      <c r="F1052" s="255"/>
      <c r="G1052" s="255"/>
      <c r="H1052" s="255"/>
      <c r="I1052" s="489"/>
      <c r="J1052" s="88"/>
      <c r="N1052" s="88"/>
      <c r="O1052" s="88"/>
      <c r="P1052" s="88"/>
      <c r="Q1052" s="88"/>
    </row>
    <row r="1053" spans="1:17" s="13" customFormat="1" ht="30" customHeight="1">
      <c r="A1053" s="179"/>
      <c r="B1053" s="180"/>
      <c r="C1053" s="180"/>
      <c r="D1053" s="180"/>
      <c r="E1053" s="255"/>
      <c r="F1053" s="255"/>
      <c r="G1053" s="255"/>
      <c r="H1053" s="255"/>
      <c r="I1053" s="489"/>
      <c r="J1053" s="88"/>
      <c r="N1053" s="88"/>
      <c r="O1053" s="88"/>
      <c r="P1053" s="88"/>
      <c r="Q1053" s="88"/>
    </row>
    <row r="1054" spans="1:17" s="13" customFormat="1" ht="30" customHeight="1">
      <c r="A1054" s="179"/>
      <c r="B1054" s="180"/>
      <c r="C1054" s="180"/>
      <c r="D1054" s="180"/>
      <c r="E1054" s="255"/>
      <c r="F1054" s="255"/>
      <c r="G1054" s="255"/>
      <c r="H1054" s="255"/>
      <c r="I1054" s="489"/>
      <c r="J1054" s="88"/>
      <c r="N1054" s="88"/>
      <c r="O1054" s="88"/>
      <c r="P1054" s="88"/>
      <c r="Q1054" s="88"/>
    </row>
    <row r="1055" spans="1:17" s="13" customFormat="1" ht="30" customHeight="1">
      <c r="A1055" s="179"/>
      <c r="B1055" s="180"/>
      <c r="C1055" s="180"/>
      <c r="D1055" s="180"/>
      <c r="E1055" s="255"/>
      <c r="F1055" s="255"/>
      <c r="G1055" s="255"/>
      <c r="H1055" s="255"/>
      <c r="I1055" s="489"/>
      <c r="J1055" s="88"/>
      <c r="N1055" s="88"/>
      <c r="O1055" s="88"/>
      <c r="P1055" s="88"/>
      <c r="Q1055" s="88"/>
    </row>
    <row r="1056" spans="1:9" s="13" customFormat="1" ht="30" customHeight="1">
      <c r="A1056" s="179"/>
      <c r="B1056" s="180"/>
      <c r="C1056" s="180"/>
      <c r="D1056" s="180"/>
      <c r="E1056" s="255"/>
      <c r="F1056" s="255"/>
      <c r="G1056" s="255"/>
      <c r="H1056" s="255"/>
      <c r="I1056" s="489"/>
    </row>
    <row r="1057" spans="1:13" s="88" customFormat="1" ht="30" customHeight="1">
      <c r="A1057" s="179"/>
      <c r="B1057" s="180"/>
      <c r="C1057" s="180"/>
      <c r="D1057" s="180"/>
      <c r="E1057" s="255"/>
      <c r="F1057" s="255"/>
      <c r="G1057" s="255"/>
      <c r="H1057" s="255"/>
      <c r="I1057" s="489"/>
      <c r="K1057" s="13"/>
      <c r="L1057" s="13"/>
      <c r="M1057" s="13"/>
    </row>
    <row r="1058" spans="1:17" s="13" customFormat="1" ht="30" customHeight="1">
      <c r="A1058" s="179"/>
      <c r="B1058" s="180"/>
      <c r="C1058" s="180"/>
      <c r="D1058" s="180"/>
      <c r="E1058" s="255"/>
      <c r="F1058" s="255"/>
      <c r="G1058" s="255"/>
      <c r="H1058" s="255"/>
      <c r="I1058" s="489"/>
      <c r="J1058" s="88"/>
      <c r="N1058" s="88"/>
      <c r="O1058" s="88"/>
      <c r="P1058" s="88"/>
      <c r="Q1058" s="88"/>
    </row>
    <row r="1059" spans="1:9" s="13" customFormat="1" ht="30" customHeight="1">
      <c r="A1059" s="179"/>
      <c r="B1059" s="180"/>
      <c r="C1059" s="180"/>
      <c r="D1059" s="180"/>
      <c r="E1059" s="255"/>
      <c r="F1059" s="255"/>
      <c r="G1059" s="255"/>
      <c r="H1059" s="255"/>
      <c r="I1059" s="489"/>
    </row>
    <row r="1060" spans="1:9" s="13" customFormat="1" ht="30" customHeight="1">
      <c r="A1060" s="179"/>
      <c r="B1060" s="180"/>
      <c r="C1060" s="180"/>
      <c r="D1060" s="180"/>
      <c r="E1060" s="255"/>
      <c r="F1060" s="255"/>
      <c r="G1060" s="255"/>
      <c r="H1060" s="255"/>
      <c r="I1060" s="489"/>
    </row>
    <row r="1061" spans="1:9" s="13" customFormat="1" ht="30" customHeight="1">
      <c r="A1061" s="179"/>
      <c r="B1061" s="180"/>
      <c r="C1061" s="180"/>
      <c r="D1061" s="180"/>
      <c r="E1061" s="255"/>
      <c r="F1061" s="255"/>
      <c r="G1061" s="255"/>
      <c r="H1061" s="255"/>
      <c r="I1061" s="489"/>
    </row>
    <row r="1062" spans="1:9" s="13" customFormat="1" ht="30" customHeight="1">
      <c r="A1062" s="179"/>
      <c r="B1062" s="180"/>
      <c r="C1062" s="180"/>
      <c r="D1062" s="180"/>
      <c r="E1062" s="255"/>
      <c r="F1062" s="255"/>
      <c r="G1062" s="255"/>
      <c r="H1062" s="255"/>
      <c r="I1062" s="489"/>
    </row>
    <row r="1063" spans="1:9" s="13" customFormat="1" ht="30" customHeight="1">
      <c r="A1063" s="179"/>
      <c r="B1063" s="180"/>
      <c r="C1063" s="180"/>
      <c r="D1063" s="180"/>
      <c r="E1063" s="255"/>
      <c r="F1063" s="255"/>
      <c r="G1063" s="255"/>
      <c r="H1063" s="255"/>
      <c r="I1063" s="489"/>
    </row>
    <row r="1064" spans="1:9" s="13" customFormat="1" ht="30" customHeight="1">
      <c r="A1064" s="179"/>
      <c r="B1064" s="180"/>
      <c r="C1064" s="180"/>
      <c r="D1064" s="180"/>
      <c r="E1064" s="255"/>
      <c r="F1064" s="255"/>
      <c r="G1064" s="255"/>
      <c r="H1064" s="255"/>
      <c r="I1064" s="489"/>
    </row>
    <row r="1065" spans="1:9" s="13" customFormat="1" ht="30" customHeight="1">
      <c r="A1065" s="179"/>
      <c r="B1065" s="180"/>
      <c r="C1065" s="180"/>
      <c r="D1065" s="180"/>
      <c r="E1065" s="255"/>
      <c r="F1065" s="255"/>
      <c r="G1065" s="255"/>
      <c r="H1065" s="255"/>
      <c r="I1065" s="489"/>
    </row>
    <row r="1066" spans="1:13" s="88" customFormat="1" ht="30" customHeight="1">
      <c r="A1066" s="179"/>
      <c r="B1066" s="180"/>
      <c r="C1066" s="180"/>
      <c r="D1066" s="180"/>
      <c r="E1066" s="255"/>
      <c r="F1066" s="255"/>
      <c r="G1066" s="255"/>
      <c r="H1066" s="255"/>
      <c r="I1066" s="489"/>
      <c r="K1066" s="13"/>
      <c r="L1066" s="13"/>
      <c r="M1066" s="13"/>
    </row>
    <row r="1067" spans="1:17" s="13" customFormat="1" ht="30" customHeight="1">
      <c r="A1067" s="179"/>
      <c r="B1067" s="180"/>
      <c r="C1067" s="180"/>
      <c r="D1067" s="180"/>
      <c r="E1067" s="255"/>
      <c r="F1067" s="255"/>
      <c r="G1067" s="255"/>
      <c r="H1067" s="255"/>
      <c r="I1067" s="489"/>
      <c r="J1067" s="88"/>
      <c r="N1067" s="88"/>
      <c r="O1067" s="88"/>
      <c r="P1067" s="88"/>
      <c r="Q1067" s="88"/>
    </row>
    <row r="1068" spans="1:9" s="13" customFormat="1" ht="30" customHeight="1">
      <c r="A1068" s="179"/>
      <c r="B1068" s="180"/>
      <c r="C1068" s="180"/>
      <c r="D1068" s="180"/>
      <c r="E1068" s="255"/>
      <c r="F1068" s="255"/>
      <c r="G1068" s="255"/>
      <c r="H1068" s="255"/>
      <c r="I1068" s="489"/>
    </row>
    <row r="1069" spans="1:17" s="88" customFormat="1" ht="30" customHeight="1">
      <c r="A1069" s="179"/>
      <c r="B1069" s="180"/>
      <c r="C1069" s="180"/>
      <c r="D1069" s="180"/>
      <c r="E1069" s="255"/>
      <c r="F1069" s="255"/>
      <c r="G1069" s="255"/>
      <c r="H1069" s="255"/>
      <c r="I1069" s="489"/>
      <c r="J1069" s="13"/>
      <c r="K1069" s="13"/>
      <c r="L1069" s="13"/>
      <c r="M1069" s="13"/>
      <c r="N1069" s="13"/>
      <c r="O1069" s="13"/>
      <c r="P1069" s="13"/>
      <c r="Q1069" s="13"/>
    </row>
    <row r="1070" spans="1:17" s="88" customFormat="1" ht="30" customHeight="1">
      <c r="A1070" s="179"/>
      <c r="B1070" s="180"/>
      <c r="C1070" s="180"/>
      <c r="D1070" s="180"/>
      <c r="E1070" s="255"/>
      <c r="F1070" s="255"/>
      <c r="G1070" s="255"/>
      <c r="H1070" s="255"/>
      <c r="I1070" s="489"/>
      <c r="J1070" s="13"/>
      <c r="K1070" s="13"/>
      <c r="L1070" s="13"/>
      <c r="M1070" s="13"/>
      <c r="N1070" s="13"/>
      <c r="O1070" s="13"/>
      <c r="P1070" s="13"/>
      <c r="Q1070" s="13"/>
    </row>
    <row r="1071" spans="1:13" s="88" customFormat="1" ht="30" customHeight="1">
      <c r="A1071" s="179"/>
      <c r="B1071" s="180"/>
      <c r="C1071" s="180"/>
      <c r="D1071" s="180"/>
      <c r="E1071" s="255"/>
      <c r="F1071" s="255"/>
      <c r="G1071" s="255"/>
      <c r="H1071" s="255"/>
      <c r="I1071" s="489"/>
      <c r="K1071" s="13"/>
      <c r="L1071" s="13"/>
      <c r="M1071" s="13"/>
    </row>
    <row r="1072" spans="1:17" s="13" customFormat="1" ht="30" customHeight="1">
      <c r="A1072" s="179"/>
      <c r="B1072" s="180"/>
      <c r="C1072" s="180"/>
      <c r="D1072" s="180"/>
      <c r="E1072" s="255"/>
      <c r="F1072" s="255"/>
      <c r="G1072" s="255"/>
      <c r="H1072" s="255"/>
      <c r="I1072" s="489"/>
      <c r="J1072" s="88"/>
      <c r="N1072" s="88"/>
      <c r="O1072" s="88"/>
      <c r="P1072" s="88"/>
      <c r="Q1072" s="88"/>
    </row>
    <row r="1073" spans="1:13" s="88" customFormat="1" ht="30" customHeight="1">
      <c r="A1073" s="179"/>
      <c r="B1073" s="180"/>
      <c r="C1073" s="180"/>
      <c r="D1073" s="180"/>
      <c r="E1073" s="255"/>
      <c r="F1073" s="255"/>
      <c r="G1073" s="255"/>
      <c r="H1073" s="255"/>
      <c r="I1073" s="489"/>
      <c r="K1073" s="13"/>
      <c r="L1073" s="13"/>
      <c r="M1073" s="13"/>
    </row>
    <row r="1074" spans="1:17" s="13" customFormat="1" ht="30" customHeight="1">
      <c r="A1074" s="179"/>
      <c r="B1074" s="180"/>
      <c r="C1074" s="180"/>
      <c r="D1074" s="180"/>
      <c r="E1074" s="255"/>
      <c r="F1074" s="255"/>
      <c r="G1074" s="255"/>
      <c r="H1074" s="255"/>
      <c r="I1074" s="489"/>
      <c r="J1074" s="88"/>
      <c r="N1074" s="88"/>
      <c r="O1074" s="88"/>
      <c r="P1074" s="88"/>
      <c r="Q1074" s="88"/>
    </row>
    <row r="1075" spans="1:17" s="88" customFormat="1" ht="30" customHeight="1">
      <c r="A1075" s="179"/>
      <c r="B1075" s="180"/>
      <c r="C1075" s="180"/>
      <c r="D1075" s="180"/>
      <c r="E1075" s="255"/>
      <c r="F1075" s="255"/>
      <c r="G1075" s="255"/>
      <c r="H1075" s="255"/>
      <c r="I1075" s="489"/>
      <c r="J1075" s="13"/>
      <c r="K1075" s="13"/>
      <c r="L1075" s="13"/>
      <c r="M1075" s="13"/>
      <c r="N1075" s="13"/>
      <c r="O1075" s="13"/>
      <c r="P1075" s="13"/>
      <c r="Q1075" s="13"/>
    </row>
    <row r="1076" spans="1:17" s="88" customFormat="1" ht="30" customHeight="1">
      <c r="A1076" s="179"/>
      <c r="B1076" s="180"/>
      <c r="C1076" s="180"/>
      <c r="D1076" s="180"/>
      <c r="E1076" s="255"/>
      <c r="F1076" s="255"/>
      <c r="G1076" s="255"/>
      <c r="H1076" s="255"/>
      <c r="I1076" s="489"/>
      <c r="J1076" s="172"/>
      <c r="K1076" s="13"/>
      <c r="L1076" s="13"/>
      <c r="M1076" s="13"/>
      <c r="N1076" s="172"/>
      <c r="O1076" s="172"/>
      <c r="P1076" s="172"/>
      <c r="Q1076" s="172"/>
    </row>
    <row r="1077" spans="1:17" s="88" customFormat="1" ht="30" customHeight="1">
      <c r="A1077" s="179"/>
      <c r="B1077" s="180"/>
      <c r="C1077" s="180"/>
      <c r="D1077" s="180"/>
      <c r="E1077" s="255"/>
      <c r="F1077" s="255"/>
      <c r="G1077" s="255"/>
      <c r="H1077" s="255"/>
      <c r="I1077" s="489"/>
      <c r="J1077" s="13"/>
      <c r="K1077" s="13"/>
      <c r="L1077" s="13"/>
      <c r="M1077" s="13"/>
      <c r="N1077" s="13"/>
      <c r="O1077" s="13"/>
      <c r="P1077" s="13"/>
      <c r="Q1077" s="13"/>
    </row>
    <row r="1078" spans="1:13" s="88" customFormat="1" ht="30" customHeight="1">
      <c r="A1078" s="179"/>
      <c r="B1078" s="180"/>
      <c r="C1078" s="180"/>
      <c r="D1078" s="180"/>
      <c r="E1078" s="255"/>
      <c r="F1078" s="255"/>
      <c r="G1078" s="255"/>
      <c r="H1078" s="255"/>
      <c r="I1078" s="489"/>
      <c r="K1078" s="13"/>
      <c r="L1078" s="13"/>
      <c r="M1078" s="13"/>
    </row>
    <row r="1079" spans="1:13" s="88" customFormat="1" ht="30" customHeight="1">
      <c r="A1079" s="179"/>
      <c r="B1079" s="180"/>
      <c r="C1079" s="180"/>
      <c r="D1079" s="180"/>
      <c r="E1079" s="255"/>
      <c r="F1079" s="255"/>
      <c r="G1079" s="255"/>
      <c r="H1079" s="255"/>
      <c r="I1079" s="489"/>
      <c r="K1079" s="13"/>
      <c r="L1079" s="13"/>
      <c r="M1079" s="13"/>
    </row>
    <row r="1080" spans="1:13" s="88" customFormat="1" ht="30" customHeight="1">
      <c r="A1080" s="179"/>
      <c r="B1080" s="180"/>
      <c r="C1080" s="180"/>
      <c r="D1080" s="180"/>
      <c r="E1080" s="255"/>
      <c r="F1080" s="255"/>
      <c r="G1080" s="255"/>
      <c r="H1080" s="255"/>
      <c r="I1080" s="489"/>
      <c r="K1080" s="13"/>
      <c r="L1080" s="13"/>
      <c r="M1080" s="13"/>
    </row>
    <row r="1081" spans="1:13" s="88" customFormat="1" ht="30" customHeight="1">
      <c r="A1081" s="179"/>
      <c r="B1081" s="180"/>
      <c r="C1081" s="180"/>
      <c r="D1081" s="180"/>
      <c r="E1081" s="255"/>
      <c r="F1081" s="255"/>
      <c r="G1081" s="255"/>
      <c r="H1081" s="255"/>
      <c r="I1081" s="489"/>
      <c r="K1081" s="13"/>
      <c r="L1081" s="13"/>
      <c r="M1081" s="13"/>
    </row>
    <row r="1082" spans="1:13" s="88" customFormat="1" ht="30" customHeight="1">
      <c r="A1082" s="179"/>
      <c r="B1082" s="180"/>
      <c r="C1082" s="180"/>
      <c r="D1082" s="180"/>
      <c r="E1082" s="255"/>
      <c r="F1082" s="255"/>
      <c r="G1082" s="255"/>
      <c r="H1082" s="255"/>
      <c r="I1082" s="489"/>
      <c r="K1082" s="13"/>
      <c r="L1082" s="13"/>
      <c r="M1082" s="13"/>
    </row>
    <row r="1083" spans="1:9" s="13" customFormat="1" ht="30" customHeight="1">
      <c r="A1083" s="179"/>
      <c r="B1083" s="180"/>
      <c r="C1083" s="180"/>
      <c r="D1083" s="180"/>
      <c r="E1083" s="255"/>
      <c r="F1083" s="255"/>
      <c r="G1083" s="255"/>
      <c r="H1083" s="255"/>
      <c r="I1083" s="489"/>
    </row>
    <row r="1084" spans="1:17" s="88" customFormat="1" ht="30" customHeight="1">
      <c r="A1084" s="179"/>
      <c r="B1084" s="180"/>
      <c r="C1084" s="180"/>
      <c r="D1084" s="180"/>
      <c r="E1084" s="255"/>
      <c r="F1084" s="255"/>
      <c r="G1084" s="255"/>
      <c r="H1084" s="255"/>
      <c r="I1084" s="489"/>
      <c r="J1084" s="13"/>
      <c r="K1084" s="13"/>
      <c r="L1084" s="13"/>
      <c r="M1084" s="13"/>
      <c r="N1084" s="13"/>
      <c r="O1084" s="13"/>
      <c r="P1084" s="13"/>
      <c r="Q1084" s="13"/>
    </row>
    <row r="1085" spans="1:9" s="13" customFormat="1" ht="30" customHeight="1">
      <c r="A1085" s="179"/>
      <c r="B1085" s="180"/>
      <c r="C1085" s="180"/>
      <c r="D1085" s="180"/>
      <c r="E1085" s="255"/>
      <c r="F1085" s="255"/>
      <c r="G1085" s="255"/>
      <c r="H1085" s="255"/>
      <c r="I1085" s="489"/>
    </row>
    <row r="1086" spans="1:9" s="13" customFormat="1" ht="30" customHeight="1">
      <c r="A1086" s="179"/>
      <c r="B1086" s="180"/>
      <c r="C1086" s="180"/>
      <c r="D1086" s="180"/>
      <c r="E1086" s="255"/>
      <c r="F1086" s="255"/>
      <c r="G1086" s="255"/>
      <c r="H1086" s="255"/>
      <c r="I1086" s="489"/>
    </row>
    <row r="1087" spans="1:9" s="13" customFormat="1" ht="30" customHeight="1">
      <c r="A1087" s="179"/>
      <c r="B1087" s="180"/>
      <c r="C1087" s="180"/>
      <c r="D1087" s="180"/>
      <c r="E1087" s="255"/>
      <c r="F1087" s="255"/>
      <c r="G1087" s="255"/>
      <c r="H1087" s="255"/>
      <c r="I1087" s="489"/>
    </row>
    <row r="1088" spans="1:17" s="88" customFormat="1" ht="30" customHeight="1">
      <c r="A1088" s="179"/>
      <c r="B1088" s="180"/>
      <c r="C1088" s="180"/>
      <c r="D1088" s="180"/>
      <c r="E1088" s="255"/>
      <c r="F1088" s="255"/>
      <c r="G1088" s="255"/>
      <c r="H1088" s="255"/>
      <c r="I1088" s="489"/>
      <c r="J1088" s="142"/>
      <c r="K1088" s="13"/>
      <c r="L1088" s="13"/>
      <c r="M1088" s="13"/>
      <c r="N1088" s="13"/>
      <c r="O1088" s="13"/>
      <c r="P1088" s="13"/>
      <c r="Q1088" s="13"/>
    </row>
    <row r="1089" spans="1:9" s="13" customFormat="1" ht="30" customHeight="1">
      <c r="A1089" s="179"/>
      <c r="B1089" s="180"/>
      <c r="C1089" s="180"/>
      <c r="D1089" s="180"/>
      <c r="E1089" s="255"/>
      <c r="F1089" s="255"/>
      <c r="G1089" s="255"/>
      <c r="H1089" s="255"/>
      <c r="I1089" s="489"/>
    </row>
    <row r="1090" spans="1:17" s="13" customFormat="1" ht="30" customHeight="1">
      <c r="A1090" s="179"/>
      <c r="B1090" s="180"/>
      <c r="C1090" s="180"/>
      <c r="D1090" s="180"/>
      <c r="E1090" s="255"/>
      <c r="F1090" s="255"/>
      <c r="G1090" s="255"/>
      <c r="H1090" s="255"/>
      <c r="I1090" s="489"/>
      <c r="J1090" s="88"/>
      <c r="N1090" s="88"/>
      <c r="O1090" s="88"/>
      <c r="P1090" s="88"/>
      <c r="Q1090" s="88"/>
    </row>
    <row r="1091" spans="1:17" s="172" customFormat="1" ht="30" customHeight="1">
      <c r="A1091" s="179"/>
      <c r="B1091" s="180"/>
      <c r="C1091" s="180"/>
      <c r="D1091" s="180"/>
      <c r="E1091" s="255"/>
      <c r="F1091" s="255"/>
      <c r="G1091" s="255"/>
      <c r="H1091" s="255"/>
      <c r="I1091" s="489"/>
      <c r="J1091" s="88"/>
      <c r="K1091" s="13"/>
      <c r="L1091" s="13"/>
      <c r="M1091" s="13"/>
      <c r="N1091" s="88"/>
      <c r="O1091" s="88"/>
      <c r="P1091" s="88"/>
      <c r="Q1091" s="88"/>
    </row>
    <row r="1092" spans="1:9" s="13" customFormat="1" ht="30" customHeight="1">
      <c r="A1092" s="179"/>
      <c r="B1092" s="180"/>
      <c r="C1092" s="180"/>
      <c r="D1092" s="180"/>
      <c r="E1092" s="255"/>
      <c r="F1092" s="255"/>
      <c r="G1092" s="255"/>
      <c r="H1092" s="255"/>
      <c r="I1092" s="489"/>
    </row>
    <row r="1093" spans="1:9" s="13" customFormat="1" ht="30" customHeight="1">
      <c r="A1093" s="179"/>
      <c r="B1093" s="180"/>
      <c r="C1093" s="180"/>
      <c r="D1093" s="180"/>
      <c r="E1093" s="255"/>
      <c r="F1093" s="255"/>
      <c r="G1093" s="255"/>
      <c r="H1093" s="255"/>
      <c r="I1093" s="489"/>
    </row>
    <row r="1094" spans="1:17" s="13" customFormat="1" ht="30" customHeight="1">
      <c r="A1094" s="179"/>
      <c r="B1094" s="180"/>
      <c r="C1094" s="180"/>
      <c r="D1094" s="180"/>
      <c r="E1094" s="255"/>
      <c r="F1094" s="255"/>
      <c r="G1094" s="255"/>
      <c r="H1094" s="255"/>
      <c r="I1094" s="489"/>
      <c r="J1094" s="88"/>
      <c r="N1094" s="88"/>
      <c r="O1094" s="88"/>
      <c r="P1094" s="88"/>
      <c r="Q1094" s="88"/>
    </row>
    <row r="1095" spans="1:17" s="13" customFormat="1" ht="30" customHeight="1">
      <c r="A1095" s="179"/>
      <c r="B1095" s="180"/>
      <c r="C1095" s="180"/>
      <c r="D1095" s="180"/>
      <c r="E1095" s="255"/>
      <c r="F1095" s="255"/>
      <c r="G1095" s="255"/>
      <c r="H1095" s="255"/>
      <c r="I1095" s="489"/>
      <c r="J1095" s="88"/>
      <c r="N1095" s="88"/>
      <c r="O1095" s="88"/>
      <c r="P1095" s="88"/>
      <c r="Q1095" s="88"/>
    </row>
    <row r="1096" spans="1:17" s="13" customFormat="1" ht="30" customHeight="1">
      <c r="A1096" s="179"/>
      <c r="B1096" s="180"/>
      <c r="C1096" s="180"/>
      <c r="D1096" s="180"/>
      <c r="E1096" s="255"/>
      <c r="F1096" s="255"/>
      <c r="G1096" s="255"/>
      <c r="H1096" s="255"/>
      <c r="I1096" s="489"/>
      <c r="J1096" s="88"/>
      <c r="N1096" s="88"/>
      <c r="O1096" s="88"/>
      <c r="P1096" s="88"/>
      <c r="Q1096" s="88"/>
    </row>
    <row r="1097" spans="1:17" s="13" customFormat="1" ht="30" customHeight="1">
      <c r="A1097" s="179"/>
      <c r="B1097" s="180"/>
      <c r="C1097" s="180"/>
      <c r="D1097" s="180"/>
      <c r="E1097" s="255"/>
      <c r="F1097" s="255"/>
      <c r="G1097" s="255"/>
      <c r="H1097" s="255"/>
      <c r="I1097" s="489"/>
      <c r="J1097" s="88"/>
      <c r="N1097" s="88"/>
      <c r="O1097" s="88"/>
      <c r="P1097" s="88"/>
      <c r="Q1097" s="88"/>
    </row>
    <row r="1098" spans="1:17" s="13" customFormat="1" ht="30" customHeight="1">
      <c r="A1098" s="179"/>
      <c r="B1098" s="180"/>
      <c r="C1098" s="180"/>
      <c r="D1098" s="180"/>
      <c r="E1098" s="255"/>
      <c r="F1098" s="255"/>
      <c r="G1098" s="255"/>
      <c r="H1098" s="255"/>
      <c r="I1098" s="489"/>
      <c r="J1098" s="88"/>
      <c r="N1098" s="88"/>
      <c r="O1098" s="88"/>
      <c r="P1098" s="88"/>
      <c r="Q1098" s="88"/>
    </row>
    <row r="1099" spans="1:17" s="13" customFormat="1" ht="30" customHeight="1">
      <c r="A1099" s="179"/>
      <c r="B1099" s="180"/>
      <c r="C1099" s="180"/>
      <c r="D1099" s="180"/>
      <c r="E1099" s="255"/>
      <c r="F1099" s="255"/>
      <c r="G1099" s="255"/>
      <c r="H1099" s="255"/>
      <c r="I1099" s="489"/>
      <c r="J1099" s="88"/>
      <c r="N1099" s="88"/>
      <c r="O1099" s="88"/>
      <c r="P1099" s="88"/>
      <c r="Q1099" s="88"/>
    </row>
    <row r="1100" spans="1:9" s="13" customFormat="1" ht="30" customHeight="1">
      <c r="A1100" s="179"/>
      <c r="B1100" s="180"/>
      <c r="C1100" s="180"/>
      <c r="D1100" s="180"/>
      <c r="E1100" s="255"/>
      <c r="F1100" s="255"/>
      <c r="G1100" s="255"/>
      <c r="H1100" s="255"/>
      <c r="I1100" s="489"/>
    </row>
    <row r="1101" spans="1:9" s="13" customFormat="1" ht="30" customHeight="1">
      <c r="A1101" s="179"/>
      <c r="B1101" s="180"/>
      <c r="C1101" s="180"/>
      <c r="D1101" s="180"/>
      <c r="E1101" s="255"/>
      <c r="F1101" s="255"/>
      <c r="G1101" s="255"/>
      <c r="H1101" s="255"/>
      <c r="I1101" s="489"/>
    </row>
    <row r="1102" spans="1:9" s="13" customFormat="1" ht="30" customHeight="1">
      <c r="A1102" s="179"/>
      <c r="B1102" s="180"/>
      <c r="C1102" s="180"/>
      <c r="D1102" s="180"/>
      <c r="E1102" s="255"/>
      <c r="F1102" s="255"/>
      <c r="G1102" s="255"/>
      <c r="H1102" s="255"/>
      <c r="I1102" s="489"/>
    </row>
    <row r="1103" spans="1:9" s="13" customFormat="1" ht="30" customHeight="1">
      <c r="A1103" s="179"/>
      <c r="B1103" s="180"/>
      <c r="C1103" s="180"/>
      <c r="D1103" s="180"/>
      <c r="E1103" s="255"/>
      <c r="F1103" s="255"/>
      <c r="G1103" s="255"/>
      <c r="H1103" s="255"/>
      <c r="I1103" s="489"/>
    </row>
    <row r="1104" spans="1:9" s="13" customFormat="1" ht="30" customHeight="1">
      <c r="A1104" s="179"/>
      <c r="B1104" s="180"/>
      <c r="C1104" s="180"/>
      <c r="D1104" s="180"/>
      <c r="E1104" s="255"/>
      <c r="F1104" s="255"/>
      <c r="G1104" s="255"/>
      <c r="H1104" s="255"/>
      <c r="I1104" s="489"/>
    </row>
    <row r="1105" spans="1:17" s="13" customFormat="1" ht="30" customHeight="1">
      <c r="A1105" s="179"/>
      <c r="B1105" s="180"/>
      <c r="C1105" s="180"/>
      <c r="D1105" s="180"/>
      <c r="E1105" s="255"/>
      <c r="F1105" s="255"/>
      <c r="G1105" s="255"/>
      <c r="H1105" s="255"/>
      <c r="I1105" s="489"/>
      <c r="J1105" s="88"/>
      <c r="N1105" s="88"/>
      <c r="O1105" s="88"/>
      <c r="P1105" s="88"/>
      <c r="Q1105" s="88"/>
    </row>
    <row r="1106" spans="1:17" s="13" customFormat="1" ht="30" customHeight="1">
      <c r="A1106" s="179"/>
      <c r="B1106" s="180"/>
      <c r="C1106" s="180"/>
      <c r="D1106" s="180"/>
      <c r="E1106" s="255"/>
      <c r="F1106" s="255"/>
      <c r="G1106" s="255"/>
      <c r="H1106" s="255"/>
      <c r="I1106" s="489"/>
      <c r="J1106" s="88"/>
      <c r="N1106" s="88"/>
      <c r="O1106" s="88"/>
      <c r="P1106" s="88"/>
      <c r="Q1106" s="88"/>
    </row>
    <row r="1107" spans="1:17" s="88" customFormat="1" ht="30" customHeight="1">
      <c r="A1107" s="179"/>
      <c r="B1107" s="180"/>
      <c r="C1107" s="180"/>
      <c r="D1107" s="180"/>
      <c r="E1107" s="255"/>
      <c r="F1107" s="255"/>
      <c r="G1107" s="255"/>
      <c r="H1107" s="255"/>
      <c r="I1107" s="489"/>
      <c r="J1107" s="13"/>
      <c r="K1107" s="13"/>
      <c r="L1107" s="13"/>
      <c r="M1107" s="13"/>
      <c r="N1107" s="13"/>
      <c r="O1107" s="13"/>
      <c r="P1107" s="13"/>
      <c r="Q1107" s="13"/>
    </row>
    <row r="1108" spans="1:17" s="88" customFormat="1" ht="30" customHeight="1">
      <c r="A1108" s="179"/>
      <c r="B1108" s="180"/>
      <c r="C1108" s="180"/>
      <c r="D1108" s="180"/>
      <c r="E1108" s="255"/>
      <c r="F1108" s="255"/>
      <c r="G1108" s="255"/>
      <c r="H1108" s="255"/>
      <c r="I1108" s="489"/>
      <c r="J1108" s="13"/>
      <c r="K1108" s="13"/>
      <c r="L1108" s="13"/>
      <c r="M1108" s="13"/>
      <c r="N1108" s="13"/>
      <c r="O1108" s="13"/>
      <c r="P1108" s="13"/>
      <c r="Q1108" s="13"/>
    </row>
    <row r="1109" spans="1:17" s="13" customFormat="1" ht="30" customHeight="1">
      <c r="A1109" s="179"/>
      <c r="B1109" s="180"/>
      <c r="C1109" s="180"/>
      <c r="D1109" s="180"/>
      <c r="E1109" s="255"/>
      <c r="F1109" s="255"/>
      <c r="G1109" s="255"/>
      <c r="H1109" s="255"/>
      <c r="I1109" s="489"/>
      <c r="J1109" s="88"/>
      <c r="N1109" s="88"/>
      <c r="O1109" s="88"/>
      <c r="P1109" s="88"/>
      <c r="Q1109" s="88"/>
    </row>
    <row r="1110" spans="1:13" s="88" customFormat="1" ht="30" customHeight="1">
      <c r="A1110" s="179"/>
      <c r="B1110" s="180"/>
      <c r="C1110" s="180"/>
      <c r="D1110" s="180"/>
      <c r="E1110" s="255"/>
      <c r="F1110" s="255"/>
      <c r="G1110" s="255"/>
      <c r="H1110" s="255"/>
      <c r="I1110" s="489"/>
      <c r="K1110" s="13"/>
      <c r="L1110" s="13"/>
      <c r="M1110" s="13"/>
    </row>
    <row r="1111" spans="1:17" s="13" customFormat="1" ht="30" customHeight="1">
      <c r="A1111" s="179"/>
      <c r="B1111" s="180"/>
      <c r="C1111" s="180"/>
      <c r="D1111" s="180"/>
      <c r="E1111" s="255"/>
      <c r="F1111" s="255"/>
      <c r="G1111" s="255"/>
      <c r="H1111" s="255"/>
      <c r="I1111" s="489"/>
      <c r="J1111" s="88"/>
      <c r="N1111" s="88"/>
      <c r="O1111" s="88"/>
      <c r="P1111" s="88"/>
      <c r="Q1111" s="88"/>
    </row>
    <row r="1112" spans="1:13" s="88" customFormat="1" ht="30" customHeight="1">
      <c r="A1112" s="179"/>
      <c r="B1112" s="180"/>
      <c r="C1112" s="180"/>
      <c r="D1112" s="180"/>
      <c r="E1112" s="255"/>
      <c r="F1112" s="255"/>
      <c r="G1112" s="255"/>
      <c r="H1112" s="255"/>
      <c r="I1112" s="489"/>
      <c r="K1112" s="13"/>
      <c r="L1112" s="13"/>
      <c r="M1112" s="13"/>
    </row>
    <row r="1113" spans="1:13" s="88" customFormat="1" ht="30" customHeight="1">
      <c r="A1113" s="179"/>
      <c r="B1113" s="180"/>
      <c r="C1113" s="180"/>
      <c r="D1113" s="180"/>
      <c r="E1113" s="255"/>
      <c r="F1113" s="255"/>
      <c r="G1113" s="255"/>
      <c r="H1113" s="255"/>
      <c r="I1113" s="489"/>
      <c r="K1113" s="13"/>
      <c r="L1113" s="13"/>
      <c r="M1113" s="13"/>
    </row>
    <row r="1114" spans="1:17" s="13" customFormat="1" ht="30" customHeight="1">
      <c r="A1114" s="179"/>
      <c r="B1114" s="180"/>
      <c r="C1114" s="180"/>
      <c r="D1114" s="180"/>
      <c r="E1114" s="255"/>
      <c r="F1114" s="255"/>
      <c r="G1114" s="255"/>
      <c r="H1114" s="255"/>
      <c r="I1114" s="489"/>
      <c r="J1114" s="88"/>
      <c r="N1114" s="88"/>
      <c r="O1114" s="88"/>
      <c r="P1114" s="88"/>
      <c r="Q1114" s="88"/>
    </row>
    <row r="1115" spans="1:17" s="13" customFormat="1" ht="30" customHeight="1">
      <c r="A1115" s="179"/>
      <c r="B1115" s="180"/>
      <c r="C1115" s="180"/>
      <c r="D1115" s="180"/>
      <c r="E1115" s="255"/>
      <c r="F1115" s="255"/>
      <c r="G1115" s="255"/>
      <c r="H1115" s="255"/>
      <c r="I1115" s="489"/>
      <c r="J1115" s="88"/>
      <c r="N1115" s="88"/>
      <c r="O1115" s="88"/>
      <c r="P1115" s="88"/>
      <c r="Q1115" s="88"/>
    </row>
    <row r="1116" spans="1:17" s="13" customFormat="1" ht="30" customHeight="1">
      <c r="A1116" s="179"/>
      <c r="B1116" s="180"/>
      <c r="C1116" s="180"/>
      <c r="D1116" s="180"/>
      <c r="E1116" s="255"/>
      <c r="F1116" s="255"/>
      <c r="G1116" s="255"/>
      <c r="H1116" s="255"/>
      <c r="I1116" s="489"/>
      <c r="J1116" s="88"/>
      <c r="N1116" s="88"/>
      <c r="O1116" s="88"/>
      <c r="P1116" s="88"/>
      <c r="Q1116" s="88"/>
    </row>
    <row r="1117" spans="1:17" s="13" customFormat="1" ht="30" customHeight="1">
      <c r="A1117" s="179"/>
      <c r="B1117" s="180"/>
      <c r="C1117" s="180"/>
      <c r="D1117" s="180"/>
      <c r="E1117" s="255"/>
      <c r="F1117" s="255"/>
      <c r="G1117" s="255"/>
      <c r="H1117" s="255"/>
      <c r="I1117" s="489"/>
      <c r="J1117" s="88"/>
      <c r="N1117" s="88"/>
      <c r="O1117" s="88"/>
      <c r="P1117" s="88"/>
      <c r="Q1117" s="88"/>
    </row>
    <row r="1118" spans="1:17" s="13" customFormat="1" ht="30" customHeight="1">
      <c r="A1118" s="179"/>
      <c r="B1118" s="180"/>
      <c r="C1118" s="180"/>
      <c r="D1118" s="180"/>
      <c r="E1118" s="255"/>
      <c r="F1118" s="255"/>
      <c r="G1118" s="255"/>
      <c r="H1118" s="255"/>
      <c r="I1118" s="489"/>
      <c r="J1118" s="88"/>
      <c r="N1118" s="88"/>
      <c r="O1118" s="88"/>
      <c r="P1118" s="88"/>
      <c r="Q1118" s="88"/>
    </row>
    <row r="1119" spans="1:9" s="13" customFormat="1" ht="30" customHeight="1">
      <c r="A1119" s="179"/>
      <c r="B1119" s="180"/>
      <c r="C1119" s="180"/>
      <c r="D1119" s="180"/>
      <c r="E1119" s="255"/>
      <c r="F1119" s="255"/>
      <c r="G1119" s="255"/>
      <c r="H1119" s="255"/>
      <c r="I1119" s="489"/>
    </row>
    <row r="1120" spans="1:9" s="13" customFormat="1" ht="30" customHeight="1">
      <c r="A1120" s="179"/>
      <c r="B1120" s="180"/>
      <c r="C1120" s="180"/>
      <c r="D1120" s="180"/>
      <c r="E1120" s="255"/>
      <c r="F1120" s="255"/>
      <c r="G1120" s="255"/>
      <c r="H1120" s="255"/>
      <c r="I1120" s="489"/>
    </row>
    <row r="1121" spans="1:17" s="13" customFormat="1" ht="30" customHeight="1">
      <c r="A1121" s="179"/>
      <c r="B1121" s="180"/>
      <c r="C1121" s="180"/>
      <c r="D1121" s="180"/>
      <c r="E1121" s="255"/>
      <c r="F1121" s="255"/>
      <c r="G1121" s="255"/>
      <c r="H1121" s="255"/>
      <c r="I1121" s="489"/>
      <c r="J1121" s="88"/>
      <c r="N1121" s="88"/>
      <c r="O1121" s="88"/>
      <c r="P1121" s="88"/>
      <c r="Q1121" s="88"/>
    </row>
    <row r="1122" spans="1:17" s="13" customFormat="1" ht="30" customHeight="1">
      <c r="A1122" s="179"/>
      <c r="B1122" s="180"/>
      <c r="C1122" s="180"/>
      <c r="D1122" s="180"/>
      <c r="E1122" s="255"/>
      <c r="F1122" s="255"/>
      <c r="G1122" s="255"/>
      <c r="H1122" s="255"/>
      <c r="I1122" s="489"/>
      <c r="J1122" s="88"/>
      <c r="N1122" s="88"/>
      <c r="O1122" s="88"/>
      <c r="P1122" s="88"/>
      <c r="Q1122" s="88"/>
    </row>
    <row r="1123" spans="1:17" s="13" customFormat="1" ht="30" customHeight="1">
      <c r="A1123" s="179"/>
      <c r="B1123" s="180"/>
      <c r="C1123" s="180"/>
      <c r="D1123" s="180"/>
      <c r="E1123" s="255"/>
      <c r="F1123" s="255"/>
      <c r="G1123" s="255"/>
      <c r="H1123" s="255"/>
      <c r="I1123" s="489"/>
      <c r="J1123" s="88"/>
      <c r="N1123" s="88"/>
      <c r="O1123" s="88"/>
      <c r="P1123" s="88"/>
      <c r="Q1123" s="88"/>
    </row>
    <row r="1124" spans="1:17" s="13" customFormat="1" ht="30" customHeight="1">
      <c r="A1124" s="179"/>
      <c r="B1124" s="180"/>
      <c r="C1124" s="180"/>
      <c r="D1124" s="180"/>
      <c r="E1124" s="255"/>
      <c r="F1124" s="255"/>
      <c r="G1124" s="255"/>
      <c r="H1124" s="255"/>
      <c r="I1124" s="489"/>
      <c r="J1124" s="88"/>
      <c r="N1124" s="88"/>
      <c r="O1124" s="88"/>
      <c r="P1124" s="88"/>
      <c r="Q1124" s="88"/>
    </row>
    <row r="1125" spans="1:9" s="13" customFormat="1" ht="30" customHeight="1">
      <c r="A1125" s="179"/>
      <c r="B1125" s="180"/>
      <c r="C1125" s="180"/>
      <c r="D1125" s="180"/>
      <c r="E1125" s="255"/>
      <c r="F1125" s="255"/>
      <c r="G1125" s="255"/>
      <c r="H1125" s="255"/>
      <c r="I1125" s="489"/>
    </row>
    <row r="1126" spans="1:17" s="13" customFormat="1" ht="30" customHeight="1">
      <c r="A1126" s="179"/>
      <c r="B1126" s="180"/>
      <c r="C1126" s="180"/>
      <c r="D1126" s="180"/>
      <c r="E1126" s="255"/>
      <c r="F1126" s="255"/>
      <c r="G1126" s="255"/>
      <c r="H1126" s="255"/>
      <c r="I1126" s="489"/>
      <c r="J1126" s="88"/>
      <c r="N1126" s="88"/>
      <c r="O1126" s="88"/>
      <c r="P1126" s="88"/>
      <c r="Q1126" s="88"/>
    </row>
    <row r="1127" spans="1:17" s="13" customFormat="1" ht="30" customHeight="1">
      <c r="A1127" s="179"/>
      <c r="B1127" s="180"/>
      <c r="C1127" s="180"/>
      <c r="D1127" s="180"/>
      <c r="E1127" s="255"/>
      <c r="F1127" s="255"/>
      <c r="G1127" s="255"/>
      <c r="H1127" s="255"/>
      <c r="I1127" s="489"/>
      <c r="J1127" s="88"/>
      <c r="N1127" s="88"/>
      <c r="O1127" s="88"/>
      <c r="P1127" s="88"/>
      <c r="Q1127" s="88"/>
    </row>
    <row r="1128" spans="1:17" s="13" customFormat="1" ht="30" customHeight="1">
      <c r="A1128" s="179"/>
      <c r="B1128" s="180"/>
      <c r="C1128" s="180"/>
      <c r="D1128" s="180"/>
      <c r="E1128" s="255"/>
      <c r="F1128" s="255"/>
      <c r="G1128" s="255"/>
      <c r="H1128" s="255"/>
      <c r="I1128" s="489"/>
      <c r="J1128" s="88"/>
      <c r="N1128" s="88"/>
      <c r="O1128" s="88"/>
      <c r="P1128" s="88"/>
      <c r="Q1128" s="88"/>
    </row>
    <row r="1129" spans="1:17" s="13" customFormat="1" ht="30" customHeight="1">
      <c r="A1129" s="179"/>
      <c r="B1129" s="180"/>
      <c r="C1129" s="180"/>
      <c r="D1129" s="180"/>
      <c r="E1129" s="255"/>
      <c r="F1129" s="255"/>
      <c r="G1129" s="255"/>
      <c r="H1129" s="255"/>
      <c r="I1129" s="489"/>
      <c r="J1129" s="88"/>
      <c r="N1129" s="88"/>
      <c r="O1129" s="88"/>
      <c r="P1129" s="88"/>
      <c r="Q1129" s="88"/>
    </row>
    <row r="1130" spans="1:9" s="13" customFormat="1" ht="30" customHeight="1">
      <c r="A1130" s="179"/>
      <c r="B1130" s="180"/>
      <c r="C1130" s="180"/>
      <c r="D1130" s="180"/>
      <c r="E1130" s="255"/>
      <c r="F1130" s="255"/>
      <c r="G1130" s="255"/>
      <c r="H1130" s="255"/>
      <c r="I1130" s="489"/>
    </row>
    <row r="1131" spans="1:9" s="13" customFormat="1" ht="30" customHeight="1">
      <c r="A1131" s="179"/>
      <c r="B1131" s="180"/>
      <c r="C1131" s="180"/>
      <c r="D1131" s="180"/>
      <c r="E1131" s="255"/>
      <c r="F1131" s="255"/>
      <c r="G1131" s="255"/>
      <c r="H1131" s="255"/>
      <c r="I1131" s="489"/>
    </row>
    <row r="1132" spans="1:9" s="13" customFormat="1" ht="30" customHeight="1">
      <c r="A1132" s="179"/>
      <c r="B1132" s="180"/>
      <c r="C1132" s="180"/>
      <c r="D1132" s="180"/>
      <c r="E1132" s="255"/>
      <c r="F1132" s="255"/>
      <c r="G1132" s="255"/>
      <c r="H1132" s="255"/>
      <c r="I1132" s="489"/>
    </row>
    <row r="1133" spans="1:9" s="13" customFormat="1" ht="30" customHeight="1">
      <c r="A1133" s="179"/>
      <c r="B1133" s="180"/>
      <c r="C1133" s="180"/>
      <c r="D1133" s="180"/>
      <c r="E1133" s="255"/>
      <c r="F1133" s="255"/>
      <c r="G1133" s="255"/>
      <c r="H1133" s="255"/>
      <c r="I1133" s="489"/>
    </row>
    <row r="1134" spans="1:9" s="13" customFormat="1" ht="30" customHeight="1">
      <c r="A1134" s="179"/>
      <c r="B1134" s="180"/>
      <c r="C1134" s="180"/>
      <c r="D1134" s="180"/>
      <c r="E1134" s="255"/>
      <c r="F1134" s="255"/>
      <c r="G1134" s="255"/>
      <c r="H1134" s="255"/>
      <c r="I1134" s="489"/>
    </row>
    <row r="1135" spans="1:9" s="13" customFormat="1" ht="30" customHeight="1">
      <c r="A1135" s="179"/>
      <c r="B1135" s="180"/>
      <c r="C1135" s="180"/>
      <c r="D1135" s="180"/>
      <c r="E1135" s="255"/>
      <c r="F1135" s="255"/>
      <c r="G1135" s="255"/>
      <c r="H1135" s="255"/>
      <c r="I1135" s="489"/>
    </row>
    <row r="1136" spans="1:9" s="13" customFormat="1" ht="30" customHeight="1">
      <c r="A1136" s="179"/>
      <c r="B1136" s="180"/>
      <c r="C1136" s="180"/>
      <c r="D1136" s="180"/>
      <c r="E1136" s="255"/>
      <c r="F1136" s="255"/>
      <c r="G1136" s="255"/>
      <c r="H1136" s="255"/>
      <c r="I1136" s="489"/>
    </row>
    <row r="1137" spans="1:9" s="13" customFormat="1" ht="30" customHeight="1">
      <c r="A1137" s="179"/>
      <c r="B1137" s="180"/>
      <c r="C1137" s="180"/>
      <c r="D1137" s="180"/>
      <c r="E1137" s="255"/>
      <c r="F1137" s="255"/>
      <c r="G1137" s="255"/>
      <c r="H1137" s="255"/>
      <c r="I1137" s="489"/>
    </row>
    <row r="1138" spans="1:9" s="13" customFormat="1" ht="30" customHeight="1">
      <c r="A1138" s="179"/>
      <c r="B1138" s="180"/>
      <c r="C1138" s="180"/>
      <c r="D1138" s="180"/>
      <c r="E1138" s="255"/>
      <c r="F1138" s="255"/>
      <c r="G1138" s="255"/>
      <c r="H1138" s="255"/>
      <c r="I1138" s="489"/>
    </row>
    <row r="1139" spans="1:17" s="13" customFormat="1" ht="30" customHeight="1">
      <c r="A1139" s="179"/>
      <c r="B1139" s="180"/>
      <c r="C1139" s="180"/>
      <c r="D1139" s="180"/>
      <c r="E1139" s="255"/>
      <c r="F1139" s="255"/>
      <c r="G1139" s="255"/>
      <c r="H1139" s="255"/>
      <c r="I1139" s="489"/>
      <c r="J1139" s="88"/>
      <c r="N1139" s="88"/>
      <c r="O1139" s="88"/>
      <c r="P1139" s="88"/>
      <c r="Q1139" s="88"/>
    </row>
    <row r="1140" spans="1:9" s="13" customFormat="1" ht="30" customHeight="1">
      <c r="A1140" s="179"/>
      <c r="B1140" s="180"/>
      <c r="C1140" s="180"/>
      <c r="D1140" s="180"/>
      <c r="E1140" s="255"/>
      <c r="F1140" s="255"/>
      <c r="G1140" s="255"/>
      <c r="H1140" s="255"/>
      <c r="I1140" s="489"/>
    </row>
    <row r="1141" spans="1:9" s="13" customFormat="1" ht="30" customHeight="1">
      <c r="A1141" s="179"/>
      <c r="B1141" s="180"/>
      <c r="C1141" s="180"/>
      <c r="D1141" s="180"/>
      <c r="E1141" s="255"/>
      <c r="F1141" s="255"/>
      <c r="G1141" s="255"/>
      <c r="H1141" s="255"/>
      <c r="I1141" s="489"/>
    </row>
    <row r="1142" spans="1:9" s="13" customFormat="1" ht="30" customHeight="1">
      <c r="A1142" s="179"/>
      <c r="B1142" s="180"/>
      <c r="C1142" s="180"/>
      <c r="D1142" s="180"/>
      <c r="E1142" s="255"/>
      <c r="F1142" s="255"/>
      <c r="G1142" s="255"/>
      <c r="H1142" s="255"/>
      <c r="I1142" s="489"/>
    </row>
    <row r="1143" spans="1:9" s="13" customFormat="1" ht="30" customHeight="1">
      <c r="A1143" s="179"/>
      <c r="B1143" s="180"/>
      <c r="C1143" s="180"/>
      <c r="D1143" s="180"/>
      <c r="E1143" s="255"/>
      <c r="F1143" s="255"/>
      <c r="G1143" s="255"/>
      <c r="H1143" s="255"/>
      <c r="I1143" s="489"/>
    </row>
    <row r="1144" spans="1:9" s="13" customFormat="1" ht="30" customHeight="1">
      <c r="A1144" s="179"/>
      <c r="B1144" s="180"/>
      <c r="C1144" s="180"/>
      <c r="D1144" s="180"/>
      <c r="E1144" s="255"/>
      <c r="F1144" s="255"/>
      <c r="G1144" s="255"/>
      <c r="H1144" s="255"/>
      <c r="I1144" s="489"/>
    </row>
    <row r="1145" spans="1:9" s="13" customFormat="1" ht="30" customHeight="1">
      <c r="A1145" s="179"/>
      <c r="B1145" s="180"/>
      <c r="C1145" s="180"/>
      <c r="D1145" s="180"/>
      <c r="E1145" s="255"/>
      <c r="F1145" s="255"/>
      <c r="G1145" s="255"/>
      <c r="H1145" s="255"/>
      <c r="I1145" s="489"/>
    </row>
    <row r="1146" spans="1:9" s="13" customFormat="1" ht="30" customHeight="1">
      <c r="A1146" s="179"/>
      <c r="B1146" s="180"/>
      <c r="C1146" s="180"/>
      <c r="D1146" s="180"/>
      <c r="E1146" s="255"/>
      <c r="F1146" s="255"/>
      <c r="G1146" s="255"/>
      <c r="H1146" s="255"/>
      <c r="I1146" s="489"/>
    </row>
    <row r="1147" spans="1:9" s="13" customFormat="1" ht="30" customHeight="1">
      <c r="A1147" s="179"/>
      <c r="B1147" s="180"/>
      <c r="C1147" s="180"/>
      <c r="D1147" s="180"/>
      <c r="E1147" s="255"/>
      <c r="F1147" s="255"/>
      <c r="G1147" s="255"/>
      <c r="H1147" s="255"/>
      <c r="I1147" s="489"/>
    </row>
    <row r="1148" spans="1:17" s="13" customFormat="1" ht="30" customHeight="1">
      <c r="A1148" s="179"/>
      <c r="B1148" s="180"/>
      <c r="C1148" s="180"/>
      <c r="D1148" s="180"/>
      <c r="E1148" s="255"/>
      <c r="F1148" s="255"/>
      <c r="G1148" s="255"/>
      <c r="H1148" s="255"/>
      <c r="I1148" s="489"/>
      <c r="J1148" s="88"/>
      <c r="N1148" s="88"/>
      <c r="O1148" s="88"/>
      <c r="P1148" s="88"/>
      <c r="Q1148" s="88"/>
    </row>
    <row r="1149" spans="1:9" s="13" customFormat="1" ht="30" customHeight="1">
      <c r="A1149" s="179"/>
      <c r="B1149" s="180"/>
      <c r="C1149" s="180"/>
      <c r="D1149" s="180"/>
      <c r="E1149" s="255"/>
      <c r="F1149" s="255"/>
      <c r="G1149" s="255"/>
      <c r="H1149" s="255"/>
      <c r="I1149" s="489"/>
    </row>
    <row r="1150" spans="1:9" s="13" customFormat="1" ht="30" customHeight="1">
      <c r="A1150" s="179"/>
      <c r="B1150" s="180"/>
      <c r="C1150" s="180"/>
      <c r="D1150" s="180"/>
      <c r="E1150" s="255"/>
      <c r="F1150" s="255"/>
      <c r="G1150" s="255"/>
      <c r="H1150" s="255"/>
      <c r="I1150" s="489"/>
    </row>
    <row r="1151" spans="1:17" s="13" customFormat="1" ht="30" customHeight="1">
      <c r="A1151" s="179"/>
      <c r="B1151" s="180"/>
      <c r="C1151" s="180"/>
      <c r="D1151" s="180"/>
      <c r="E1151" s="255"/>
      <c r="F1151" s="255"/>
      <c r="G1151" s="255"/>
      <c r="H1151" s="255"/>
      <c r="I1151" s="489"/>
      <c r="J1151" s="88"/>
      <c r="N1151" s="88"/>
      <c r="O1151" s="88"/>
      <c r="P1151" s="88"/>
      <c r="Q1151" s="88"/>
    </row>
    <row r="1152" spans="1:17" s="13" customFormat="1" ht="30" customHeight="1">
      <c r="A1152" s="179"/>
      <c r="B1152" s="180"/>
      <c r="C1152" s="180"/>
      <c r="D1152" s="180"/>
      <c r="E1152" s="255"/>
      <c r="F1152" s="255"/>
      <c r="G1152" s="255"/>
      <c r="H1152" s="255"/>
      <c r="I1152" s="489"/>
      <c r="J1152" s="88"/>
      <c r="N1152" s="88"/>
      <c r="O1152" s="88"/>
      <c r="P1152" s="88"/>
      <c r="Q1152" s="88"/>
    </row>
    <row r="1153" spans="1:17" s="13" customFormat="1" ht="30" customHeight="1">
      <c r="A1153" s="179"/>
      <c r="B1153" s="180"/>
      <c r="C1153" s="180"/>
      <c r="D1153" s="180"/>
      <c r="E1153" s="255"/>
      <c r="F1153" s="255"/>
      <c r="G1153" s="255"/>
      <c r="H1153" s="255"/>
      <c r="I1153" s="489"/>
      <c r="J1153" s="88"/>
      <c r="N1153" s="88"/>
      <c r="O1153" s="88"/>
      <c r="P1153" s="88"/>
      <c r="Q1153" s="88"/>
    </row>
    <row r="1154" spans="1:9" s="13" customFormat="1" ht="30" customHeight="1">
      <c r="A1154" s="179"/>
      <c r="B1154" s="180"/>
      <c r="C1154" s="180"/>
      <c r="D1154" s="180"/>
      <c r="E1154" s="255"/>
      <c r="F1154" s="255"/>
      <c r="G1154" s="255"/>
      <c r="H1154" s="255"/>
      <c r="I1154" s="489"/>
    </row>
    <row r="1155" spans="1:17" s="13" customFormat="1" ht="30" customHeight="1">
      <c r="A1155" s="179"/>
      <c r="B1155" s="180"/>
      <c r="C1155" s="180"/>
      <c r="D1155" s="180"/>
      <c r="E1155" s="255"/>
      <c r="F1155" s="255"/>
      <c r="G1155" s="255"/>
      <c r="H1155" s="255"/>
      <c r="I1155" s="489"/>
      <c r="J1155" s="88"/>
      <c r="N1155" s="88"/>
      <c r="O1155" s="88"/>
      <c r="P1155" s="88"/>
      <c r="Q1155" s="88"/>
    </row>
    <row r="1156" spans="1:9" s="13" customFormat="1" ht="30" customHeight="1">
      <c r="A1156" s="179"/>
      <c r="B1156" s="180"/>
      <c r="C1156" s="180"/>
      <c r="D1156" s="180"/>
      <c r="E1156" s="255"/>
      <c r="F1156" s="255"/>
      <c r="G1156" s="255"/>
      <c r="H1156" s="255"/>
      <c r="I1156" s="489"/>
    </row>
    <row r="1157" spans="1:17" s="13" customFormat="1" ht="30" customHeight="1">
      <c r="A1157" s="179"/>
      <c r="B1157" s="180"/>
      <c r="C1157" s="180"/>
      <c r="D1157" s="180"/>
      <c r="E1157" s="255"/>
      <c r="F1157" s="255"/>
      <c r="G1157" s="255"/>
      <c r="H1157" s="255"/>
      <c r="I1157" s="489"/>
      <c r="J1157" s="88"/>
      <c r="N1157" s="88"/>
      <c r="O1157" s="88"/>
      <c r="P1157" s="88"/>
      <c r="Q1157" s="88"/>
    </row>
    <row r="1158" spans="1:17" s="13" customFormat="1" ht="30" customHeight="1">
      <c r="A1158" s="179"/>
      <c r="B1158" s="180"/>
      <c r="C1158" s="180"/>
      <c r="D1158" s="180"/>
      <c r="E1158" s="255"/>
      <c r="F1158" s="255"/>
      <c r="G1158" s="255"/>
      <c r="H1158" s="255"/>
      <c r="I1158" s="489"/>
      <c r="J1158" s="88"/>
      <c r="N1158" s="88"/>
      <c r="O1158" s="88"/>
      <c r="P1158" s="88"/>
      <c r="Q1158" s="88"/>
    </row>
    <row r="1159" spans="1:17" s="13" customFormat="1" ht="30" customHeight="1">
      <c r="A1159" s="179"/>
      <c r="B1159" s="180"/>
      <c r="C1159" s="180"/>
      <c r="D1159" s="180"/>
      <c r="E1159" s="255"/>
      <c r="F1159" s="255"/>
      <c r="G1159" s="255"/>
      <c r="H1159" s="255"/>
      <c r="I1159" s="489"/>
      <c r="J1159" s="88"/>
      <c r="N1159" s="88"/>
      <c r="O1159" s="88"/>
      <c r="P1159" s="88"/>
      <c r="Q1159" s="88"/>
    </row>
    <row r="1160" spans="1:17" s="13" customFormat="1" ht="30" customHeight="1">
      <c r="A1160" s="179"/>
      <c r="B1160" s="180"/>
      <c r="C1160" s="180"/>
      <c r="D1160" s="180"/>
      <c r="E1160" s="255"/>
      <c r="F1160" s="255"/>
      <c r="G1160" s="255"/>
      <c r="H1160" s="255"/>
      <c r="I1160" s="489"/>
      <c r="J1160" s="88"/>
      <c r="N1160" s="88"/>
      <c r="O1160" s="88"/>
      <c r="P1160" s="88"/>
      <c r="Q1160" s="88"/>
    </row>
    <row r="1161" spans="1:17" s="13" customFormat="1" ht="30" customHeight="1">
      <c r="A1161" s="179"/>
      <c r="B1161" s="180"/>
      <c r="C1161" s="180"/>
      <c r="D1161" s="180"/>
      <c r="E1161" s="255"/>
      <c r="F1161" s="255"/>
      <c r="G1161" s="255"/>
      <c r="H1161" s="255"/>
      <c r="I1161" s="489"/>
      <c r="J1161" s="88"/>
      <c r="N1161" s="88"/>
      <c r="O1161" s="88"/>
      <c r="P1161" s="88"/>
      <c r="Q1161" s="88"/>
    </row>
    <row r="1162" spans="1:17" s="13" customFormat="1" ht="30" customHeight="1">
      <c r="A1162" s="179"/>
      <c r="B1162" s="180"/>
      <c r="C1162" s="180"/>
      <c r="D1162" s="180"/>
      <c r="E1162" s="255"/>
      <c r="F1162" s="255"/>
      <c r="G1162" s="255"/>
      <c r="H1162" s="255"/>
      <c r="I1162" s="489"/>
      <c r="J1162" s="88"/>
      <c r="N1162" s="88"/>
      <c r="O1162" s="88"/>
      <c r="P1162" s="88"/>
      <c r="Q1162" s="88"/>
    </row>
    <row r="1163" spans="1:17" s="13" customFormat="1" ht="30" customHeight="1">
      <c r="A1163" s="179"/>
      <c r="B1163" s="180"/>
      <c r="C1163" s="180"/>
      <c r="D1163" s="180"/>
      <c r="E1163" s="255"/>
      <c r="F1163" s="255"/>
      <c r="G1163" s="255"/>
      <c r="H1163" s="255"/>
      <c r="I1163" s="489"/>
      <c r="J1163" s="88"/>
      <c r="N1163" s="88"/>
      <c r="O1163" s="88"/>
      <c r="P1163" s="88"/>
      <c r="Q1163" s="88"/>
    </row>
    <row r="1164" spans="10:17" ht="30" customHeight="1">
      <c r="J1164" s="16"/>
      <c r="N1164" s="16"/>
      <c r="O1164" s="16"/>
      <c r="P1164" s="16"/>
      <c r="Q1164" s="16"/>
    </row>
    <row r="1165" ht="30" customHeight="1"/>
    <row r="1166" spans="10:17" ht="30" customHeight="1">
      <c r="J1166" s="16"/>
      <c r="N1166" s="16"/>
      <c r="O1166" s="16"/>
      <c r="P1166" s="16"/>
      <c r="Q1166" s="16"/>
    </row>
    <row r="1167" ht="30" customHeight="1"/>
    <row r="1168" ht="30" customHeight="1"/>
    <row r="1169" ht="30" customHeight="1"/>
    <row r="1170" spans="10:17" ht="30" customHeight="1">
      <c r="J1170" s="16"/>
      <c r="N1170" s="16"/>
      <c r="O1170" s="16"/>
      <c r="P1170" s="16"/>
      <c r="Q1170" s="16"/>
    </row>
    <row r="1171" ht="30" customHeight="1"/>
    <row r="1172" ht="30" customHeight="1"/>
    <row r="1173" spans="10:17" ht="27" customHeight="1">
      <c r="J1173" s="134"/>
      <c r="N1173" s="134"/>
      <c r="O1173" s="134"/>
      <c r="P1173" s="134"/>
      <c r="Q1173" s="134"/>
    </row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spans="10:17" ht="27" customHeight="1">
      <c r="J1189" s="16"/>
      <c r="N1189" s="16"/>
      <c r="O1189" s="16"/>
      <c r="P1189" s="16"/>
      <c r="Q1189" s="16"/>
    </row>
    <row r="1190" spans="10:17" ht="27" customHeight="1">
      <c r="J1190" s="16"/>
      <c r="N1190" s="16"/>
      <c r="O1190" s="16"/>
      <c r="P1190" s="16"/>
      <c r="Q1190" s="16"/>
    </row>
    <row r="1191" ht="27" customHeight="1"/>
    <row r="1192" spans="10:17" ht="27" customHeight="1">
      <c r="J1192" s="16"/>
      <c r="N1192" s="16"/>
      <c r="O1192" s="16"/>
      <c r="P1192" s="16"/>
      <c r="Q1192" s="16"/>
    </row>
    <row r="1193" ht="27" customHeight="1"/>
    <row r="1194" spans="1:17" s="134" customFormat="1" ht="27" customHeight="1">
      <c r="A1194" s="179"/>
      <c r="B1194" s="180"/>
      <c r="C1194" s="180"/>
      <c r="D1194" s="180"/>
      <c r="E1194" s="255"/>
      <c r="F1194" s="255"/>
      <c r="G1194" s="255"/>
      <c r="H1194" s="255"/>
      <c r="I1194" s="489"/>
      <c r="J1194" s="16"/>
      <c r="K1194"/>
      <c r="L1194"/>
      <c r="M1194"/>
      <c r="N1194" s="16"/>
      <c r="O1194" s="16"/>
      <c r="P1194" s="16"/>
      <c r="Q1194" s="16"/>
    </row>
    <row r="1195" spans="10:17" ht="27" customHeight="1">
      <c r="J1195" s="16"/>
      <c r="N1195" s="16"/>
      <c r="O1195" s="16"/>
      <c r="P1195" s="16"/>
      <c r="Q1195" s="16"/>
    </row>
    <row r="1196" spans="10:17" ht="27" customHeight="1">
      <c r="J1196" s="16"/>
      <c r="N1196" s="16"/>
      <c r="O1196" s="16"/>
      <c r="P1196" s="16"/>
      <c r="Q1196" s="16"/>
    </row>
    <row r="1197" spans="10:17" ht="27" customHeight="1">
      <c r="J1197" s="16"/>
      <c r="N1197" s="16"/>
      <c r="O1197" s="16"/>
      <c r="P1197" s="16"/>
      <c r="Q1197" s="16"/>
    </row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80" ht="24.75" customHeight="1">
      <c r="N1280" s="16"/>
    </row>
    <row r="1281" ht="24.75" customHeight="1">
      <c r="N1281" s="16"/>
    </row>
    <row r="1283" ht="24.75" customHeight="1">
      <c r="N1283" s="16"/>
    </row>
    <row r="1284" spans="10:17" ht="24.75" customHeight="1">
      <c r="J1284" s="134"/>
      <c r="O1284" s="134"/>
      <c r="P1284" s="134"/>
      <c r="Q1284" s="134"/>
    </row>
    <row r="1285" ht="24.75" customHeight="1">
      <c r="N1285" s="16"/>
    </row>
    <row r="1286" ht="24.75" customHeight="1">
      <c r="N1286" s="16"/>
    </row>
    <row r="1287" ht="24.75" customHeight="1">
      <c r="N1287" s="16"/>
    </row>
    <row r="1288" ht="24.75" customHeight="1">
      <c r="N1288" s="16"/>
    </row>
  </sheetData>
  <sheetProtection password="CF52" sheet="1"/>
  <autoFilter ref="A1:A1192"/>
  <mergeCells count="340">
    <mergeCell ref="A459:C459"/>
    <mergeCell ref="A947:C947"/>
    <mergeCell ref="A631:I631"/>
    <mergeCell ref="A632:C632"/>
    <mergeCell ref="A824:I824"/>
    <mergeCell ref="A825:C825"/>
    <mergeCell ref="A925:C925"/>
    <mergeCell ref="A773:C773"/>
    <mergeCell ref="A772:I772"/>
    <mergeCell ref="A875:C875"/>
    <mergeCell ref="F886:F887"/>
    <mergeCell ref="A483:I483"/>
    <mergeCell ref="A423:D423"/>
    <mergeCell ref="G426:G427"/>
    <mergeCell ref="D426:D427"/>
    <mergeCell ref="A444:B444"/>
    <mergeCell ref="F426:F427"/>
    <mergeCell ref="A456:C456"/>
    <mergeCell ref="A429:C429"/>
    <mergeCell ref="B425:B427"/>
    <mergeCell ref="A443:I443"/>
    <mergeCell ref="A58:C58"/>
    <mergeCell ref="A178:I178"/>
    <mergeCell ref="A179:C179"/>
    <mergeCell ref="A263:I263"/>
    <mergeCell ref="A264:C264"/>
    <mergeCell ref="A223:C223"/>
    <mergeCell ref="A214:C214"/>
    <mergeCell ref="A226:I226"/>
    <mergeCell ref="A166:C166"/>
    <mergeCell ref="G228:G229"/>
    <mergeCell ref="Q987:W987"/>
    <mergeCell ref="S988:T988"/>
    <mergeCell ref="U988:V988"/>
    <mergeCell ref="S989:T989"/>
    <mergeCell ref="U989:V989"/>
    <mergeCell ref="P986:Q986"/>
    <mergeCell ref="R973:S973"/>
    <mergeCell ref="R977:S977"/>
    <mergeCell ref="R978:S978"/>
    <mergeCell ref="S990:T990"/>
    <mergeCell ref="U990:V990"/>
    <mergeCell ref="R982:W982"/>
    <mergeCell ref="R983:W983"/>
    <mergeCell ref="R984:W984"/>
    <mergeCell ref="R985:W985"/>
    <mergeCell ref="R986:W986"/>
    <mergeCell ref="P979:W979"/>
    <mergeCell ref="P980:W980"/>
    <mergeCell ref="P981:W981"/>
    <mergeCell ref="P966:Q966"/>
    <mergeCell ref="R966:R968"/>
    <mergeCell ref="S966:V966"/>
    <mergeCell ref="S967:T967"/>
    <mergeCell ref="U967:V967"/>
    <mergeCell ref="R970:S970"/>
    <mergeCell ref="N903:O903"/>
    <mergeCell ref="P903:R903"/>
    <mergeCell ref="P962:Q962"/>
    <mergeCell ref="R962:W962"/>
    <mergeCell ref="P963:Q963"/>
    <mergeCell ref="P964:Q964"/>
    <mergeCell ref="R964:W964"/>
    <mergeCell ref="A932:C932"/>
    <mergeCell ref="A888:C888"/>
    <mergeCell ref="P914:Q914"/>
    <mergeCell ref="P916:Q916"/>
    <mergeCell ref="N900:O900"/>
    <mergeCell ref="P900:R900"/>
    <mergeCell ref="N901:O901"/>
    <mergeCell ref="P901:R901"/>
    <mergeCell ref="N902:O902"/>
    <mergeCell ref="P902:R902"/>
    <mergeCell ref="A997:I997"/>
    <mergeCell ref="A682:C682"/>
    <mergeCell ref="A970:C970"/>
    <mergeCell ref="A915:C915"/>
    <mergeCell ref="A889:C889"/>
    <mergeCell ref="E886:E887"/>
    <mergeCell ref="C949:D949"/>
    <mergeCell ref="A929:C929"/>
    <mergeCell ref="A937:C937"/>
    <mergeCell ref="A934:C934"/>
    <mergeCell ref="A949:B949"/>
    <mergeCell ref="A1003:C1003"/>
    <mergeCell ref="H785:H786"/>
    <mergeCell ref="A780:C780"/>
    <mergeCell ref="A883:D883"/>
    <mergeCell ref="B885:B887"/>
    <mergeCell ref="G886:G887"/>
    <mergeCell ref="H886:H887"/>
    <mergeCell ref="A813:C813"/>
    <mergeCell ref="A881:C881"/>
    <mergeCell ref="A936:C936"/>
    <mergeCell ref="A862:I862"/>
    <mergeCell ref="A884:I884"/>
    <mergeCell ref="A788:C788"/>
    <mergeCell ref="B784:B786"/>
    <mergeCell ref="A885:A887"/>
    <mergeCell ref="C885:C887"/>
    <mergeCell ref="A903:I903"/>
    <mergeCell ref="A904:C904"/>
    <mergeCell ref="D886:D887"/>
    <mergeCell ref="A844:C844"/>
    <mergeCell ref="A783:I783"/>
    <mergeCell ref="D784:I784"/>
    <mergeCell ref="G785:G786"/>
    <mergeCell ref="I785:I786"/>
    <mergeCell ref="A806:C806"/>
    <mergeCell ref="A674:C674"/>
    <mergeCell ref="A782:D782"/>
    <mergeCell ref="A756:C756"/>
    <mergeCell ref="A767:C767"/>
    <mergeCell ref="A863:C863"/>
    <mergeCell ref="A676:D676"/>
    <mergeCell ref="A699:C699"/>
    <mergeCell ref="A685:C685"/>
    <mergeCell ref="D678:I678"/>
    <mergeCell ref="E785:E786"/>
    <mergeCell ref="E679:E680"/>
    <mergeCell ref="B678:B680"/>
    <mergeCell ref="F601:F602"/>
    <mergeCell ref="A579:C579"/>
    <mergeCell ref="A592:C592"/>
    <mergeCell ref="A599:I599"/>
    <mergeCell ref="G601:G602"/>
    <mergeCell ref="I601:I602"/>
    <mergeCell ref="E601:E602"/>
    <mergeCell ref="A670:C670"/>
    <mergeCell ref="H601:H602"/>
    <mergeCell ref="A598:D598"/>
    <mergeCell ref="A588:C588"/>
    <mergeCell ref="A650:C650"/>
    <mergeCell ref="A629:C629"/>
    <mergeCell ref="A603:C603"/>
    <mergeCell ref="B600:B602"/>
    <mergeCell ref="D601:D602"/>
    <mergeCell ref="A604:C604"/>
    <mergeCell ref="A619:C619"/>
    <mergeCell ref="D517:I517"/>
    <mergeCell ref="I518:I519"/>
    <mergeCell ref="D600:I600"/>
    <mergeCell ref="A558:C558"/>
    <mergeCell ref="A553:C553"/>
    <mergeCell ref="C517:C519"/>
    <mergeCell ref="A521:C521"/>
    <mergeCell ref="A531:C531"/>
    <mergeCell ref="A624:C624"/>
    <mergeCell ref="D679:D680"/>
    <mergeCell ref="F679:F680"/>
    <mergeCell ref="A708:C708"/>
    <mergeCell ref="A681:C681"/>
    <mergeCell ref="C678:C680"/>
    <mergeCell ref="A698:I698"/>
    <mergeCell ref="A636:B636"/>
    <mergeCell ref="H679:H680"/>
    <mergeCell ref="G679:G680"/>
    <mergeCell ref="A719:C719"/>
    <mergeCell ref="A730:C730"/>
    <mergeCell ref="A784:A786"/>
    <mergeCell ref="A516:I516"/>
    <mergeCell ref="A542:C542"/>
    <mergeCell ref="A729:C729"/>
    <mergeCell ref="C636:D636"/>
    <mergeCell ref="A661:C661"/>
    <mergeCell ref="A738:C738"/>
    <mergeCell ref="A678:A680"/>
    <mergeCell ref="D227:I227"/>
    <mergeCell ref="A677:I677"/>
    <mergeCell ref="A424:I424"/>
    <mergeCell ref="C425:C427"/>
    <mergeCell ref="A417:C417"/>
    <mergeCell ref="A496:C496"/>
    <mergeCell ref="H312:H313"/>
    <mergeCell ref="G518:G519"/>
    <mergeCell ref="H518:H519"/>
    <mergeCell ref="B517:B519"/>
    <mergeCell ref="A218:I218"/>
    <mergeCell ref="C227:C229"/>
    <mergeCell ref="G312:G313"/>
    <mergeCell ref="C311:C313"/>
    <mergeCell ref="F312:F313"/>
    <mergeCell ref="A227:A229"/>
    <mergeCell ref="B311:B313"/>
    <mergeCell ref="E228:E229"/>
    <mergeCell ref="A268:C268"/>
    <mergeCell ref="D312:D313"/>
    <mergeCell ref="D113:I113"/>
    <mergeCell ref="I114:I115"/>
    <mergeCell ref="D114:D115"/>
    <mergeCell ref="A189:C189"/>
    <mergeCell ref="A204:C204"/>
    <mergeCell ref="A117:C117"/>
    <mergeCell ref="A14:C14"/>
    <mergeCell ref="A40:C40"/>
    <mergeCell ref="G7:G8"/>
    <mergeCell ref="A109:C109"/>
    <mergeCell ref="A63:B63"/>
    <mergeCell ref="C63:D63"/>
    <mergeCell ref="A46:C46"/>
    <mergeCell ref="A82:C82"/>
    <mergeCell ref="A57:I57"/>
    <mergeCell ref="A102:C102"/>
    <mergeCell ref="A101:I101"/>
    <mergeCell ref="P398:R398"/>
    <mergeCell ref="A5:I5"/>
    <mergeCell ref="A6:A8"/>
    <mergeCell ref="B6:B8"/>
    <mergeCell ref="F7:F8"/>
    <mergeCell ref="A44:C44"/>
    <mergeCell ref="A113:A115"/>
    <mergeCell ref="A112:I112"/>
    <mergeCell ref="A111:D111"/>
    <mergeCell ref="M115:Q115"/>
    <mergeCell ref="E312:E313"/>
    <mergeCell ref="H228:H229"/>
    <mergeCell ref="A310:I310"/>
    <mergeCell ref="A309:D309"/>
    <mergeCell ref="B227:B229"/>
    <mergeCell ref="A234:C234"/>
    <mergeCell ref="A302:C302"/>
    <mergeCell ref="A219:C219"/>
    <mergeCell ref="A248:C248"/>
    <mergeCell ref="A89:C89"/>
    <mergeCell ref="A127:I127"/>
    <mergeCell ref="A163:C163"/>
    <mergeCell ref="C113:C115"/>
    <mergeCell ref="A128:C128"/>
    <mergeCell ref="A138:C138"/>
    <mergeCell ref="F114:F115"/>
    <mergeCell ref="A142:C142"/>
    <mergeCell ref="E114:E115"/>
    <mergeCell ref="G114:G115"/>
    <mergeCell ref="A307:C307"/>
    <mergeCell ref="A311:A313"/>
    <mergeCell ref="I312:I313"/>
    <mergeCell ref="A315:C315"/>
    <mergeCell ref="A337:C337"/>
    <mergeCell ref="A283:B283"/>
    <mergeCell ref="A291:C291"/>
    <mergeCell ref="A450:C450"/>
    <mergeCell ref="A467:C467"/>
    <mergeCell ref="A512:D512"/>
    <mergeCell ref="A546:C546"/>
    <mergeCell ref="D228:D229"/>
    <mergeCell ref="A342:C342"/>
    <mergeCell ref="A520:C520"/>
    <mergeCell ref="A389:C389"/>
    <mergeCell ref="A397:I397"/>
    <mergeCell ref="A231:C231"/>
    <mergeCell ref="F228:F229"/>
    <mergeCell ref="B113:B115"/>
    <mergeCell ref="H114:H115"/>
    <mergeCell ref="I228:I229"/>
    <mergeCell ref="D311:I311"/>
    <mergeCell ref="A254:C254"/>
    <mergeCell ref="A258:C258"/>
    <mergeCell ref="A253:C253"/>
    <mergeCell ref="A225:D225"/>
    <mergeCell ref="A306:C306"/>
    <mergeCell ref="A26:C26"/>
    <mergeCell ref="A454:C454"/>
    <mergeCell ref="H426:H427"/>
    <mergeCell ref="A333:C333"/>
    <mergeCell ref="A484:C484"/>
    <mergeCell ref="A108:C108"/>
    <mergeCell ref="D425:I425"/>
    <mergeCell ref="I426:I427"/>
    <mergeCell ref="A340:I340"/>
    <mergeCell ref="A351:C351"/>
    <mergeCell ref="A1:I1"/>
    <mergeCell ref="A2:I2"/>
    <mergeCell ref="A3:I3"/>
    <mergeCell ref="A4:I4"/>
    <mergeCell ref="I7:I8"/>
    <mergeCell ref="D6:I6"/>
    <mergeCell ref="C6:C8"/>
    <mergeCell ref="H7:H8"/>
    <mergeCell ref="D7:D8"/>
    <mergeCell ref="E7:E8"/>
    <mergeCell ref="E426:E427"/>
    <mergeCell ref="A421:C421"/>
    <mergeCell ref="A354:C354"/>
    <mergeCell ref="A425:A427"/>
    <mergeCell ref="A408:C408"/>
    <mergeCell ref="A371:B371"/>
    <mergeCell ref="C371:D371"/>
    <mergeCell ref="A366:I366"/>
    <mergeCell ref="A367:C367"/>
    <mergeCell ref="A398:C398"/>
    <mergeCell ref="I513:I515"/>
    <mergeCell ref="A514:D514"/>
    <mergeCell ref="A515:D515"/>
    <mergeCell ref="A600:A602"/>
    <mergeCell ref="C600:C602"/>
    <mergeCell ref="A551:C551"/>
    <mergeCell ref="D518:D519"/>
    <mergeCell ref="E518:E519"/>
    <mergeCell ref="F518:F519"/>
    <mergeCell ref="A530:I530"/>
    <mergeCell ref="D885:I885"/>
    <mergeCell ref="I886:I887"/>
    <mergeCell ref="A811:I811"/>
    <mergeCell ref="A808:C808"/>
    <mergeCell ref="C784:C786"/>
    <mergeCell ref="A807:C807"/>
    <mergeCell ref="A802:C802"/>
    <mergeCell ref="F785:F786"/>
    <mergeCell ref="D785:D786"/>
    <mergeCell ref="A787:C787"/>
    <mergeCell ref="A455:C455"/>
    <mergeCell ref="A552:C552"/>
    <mergeCell ref="A625:C625"/>
    <mergeCell ref="A506:C506"/>
    <mergeCell ref="A513:D513"/>
    <mergeCell ref="A510:C510"/>
    <mergeCell ref="A596:C596"/>
    <mergeCell ref="A612:C612"/>
    <mergeCell ref="A517:A519"/>
    <mergeCell ref="A615:C615"/>
    <mergeCell ref="A1008:D1008"/>
    <mergeCell ref="I679:I680"/>
    <mergeCell ref="A9:C9"/>
    <mergeCell ref="A45:C45"/>
    <mergeCell ref="A116:C116"/>
    <mergeCell ref="A230:C230"/>
    <mergeCell ref="A314:C314"/>
    <mergeCell ref="A428:C428"/>
    <mergeCell ref="A25:I25"/>
    <mergeCell ref="A353:C353"/>
    <mergeCell ref="A1009:I1009"/>
    <mergeCell ref="I1006:I1008"/>
    <mergeCell ref="A992:C992"/>
    <mergeCell ref="A1005:D1005"/>
    <mergeCell ref="A998:C998"/>
    <mergeCell ref="A165:C165"/>
    <mergeCell ref="A983:I983"/>
    <mergeCell ref="A984:C984"/>
    <mergeCell ref="A1006:D1006"/>
    <mergeCell ref="A1007:D1007"/>
  </mergeCells>
  <printOptions horizontalCentered="1"/>
  <pageMargins left="0.1968503937007874" right="0.1968503937007874" top="0.5905511811023623" bottom="0.5905511811023623" header="0" footer="0"/>
  <pageSetup horizontalDpi="600" verticalDpi="600" orientation="landscape" paperSize="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zoomScalePageLayoutView="0" workbookViewId="0" topLeftCell="A1">
      <selection activeCell="H12" sqref="H12"/>
    </sheetView>
  </sheetViews>
  <sheetFormatPr defaultColWidth="9.140625" defaultRowHeight="12.75" outlineLevelCol="1"/>
  <cols>
    <col min="1" max="1" width="2.8515625" style="32" customWidth="1"/>
    <col min="2" max="2" width="43.28125" style="32" customWidth="1"/>
    <col min="3" max="3" width="10.57421875" style="32" customWidth="1"/>
    <col min="4" max="4" width="5.7109375" style="32" hidden="1" customWidth="1" outlineLevel="1"/>
    <col min="5" max="5" width="17.00390625" style="32" customWidth="1" collapsed="1"/>
    <col min="6" max="15" width="4.7109375" style="32" customWidth="1"/>
    <col min="16" max="16" width="8.57421875" style="32" customWidth="1"/>
    <col min="17" max="17" width="9.57421875" style="32" customWidth="1"/>
    <col min="18" max="18" width="8.7109375" style="87" customWidth="1"/>
    <col min="19" max="25" width="9.140625" style="239" customWidth="1"/>
  </cols>
  <sheetData>
    <row r="1" spans="1:25" s="23" customFormat="1" ht="15" customHeight="1">
      <c r="A1" s="583" t="s">
        <v>510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430"/>
      <c r="T1" s="430"/>
      <c r="U1" s="430"/>
      <c r="V1" s="430"/>
      <c r="W1" s="430"/>
      <c r="X1" s="430"/>
      <c r="Y1" s="431"/>
    </row>
    <row r="2" spans="1:25" s="11" customFormat="1" ht="11.25" customHeight="1">
      <c r="A2" s="517" t="s">
        <v>50</v>
      </c>
      <c r="B2" s="586" t="s">
        <v>128</v>
      </c>
      <c r="C2" s="586" t="s">
        <v>114</v>
      </c>
      <c r="D2" s="586" t="s">
        <v>118</v>
      </c>
      <c r="E2" s="586" t="s">
        <v>191</v>
      </c>
      <c r="F2" s="517" t="s">
        <v>69</v>
      </c>
      <c r="G2" s="517"/>
      <c r="H2" s="517"/>
      <c r="I2" s="517"/>
      <c r="J2" s="517"/>
      <c r="K2" s="517"/>
      <c r="L2" s="517"/>
      <c r="M2" s="517"/>
      <c r="N2" s="517"/>
      <c r="O2" s="517"/>
      <c r="P2" s="581" t="s">
        <v>474</v>
      </c>
      <c r="Q2" s="584" t="s">
        <v>190</v>
      </c>
      <c r="R2" s="585" t="s">
        <v>51</v>
      </c>
      <c r="S2" s="432"/>
      <c r="T2" s="432"/>
      <c r="U2" s="432"/>
      <c r="V2" s="432"/>
      <c r="W2" s="432"/>
      <c r="X2" s="432"/>
      <c r="Y2" s="432"/>
    </row>
    <row r="3" spans="1:25" s="11" customFormat="1" ht="10.5" customHeight="1">
      <c r="A3" s="517"/>
      <c r="B3" s="586"/>
      <c r="C3" s="586"/>
      <c r="D3" s="586"/>
      <c r="E3" s="586"/>
      <c r="F3" s="580" t="s">
        <v>52</v>
      </c>
      <c r="G3" s="580"/>
      <c r="H3" s="580"/>
      <c r="I3" s="580"/>
      <c r="J3" s="580"/>
      <c r="K3" s="580"/>
      <c r="L3" s="580"/>
      <c r="M3" s="580"/>
      <c r="N3" s="580"/>
      <c r="O3" s="580"/>
      <c r="P3" s="581"/>
      <c r="Q3" s="584"/>
      <c r="R3" s="585"/>
      <c r="S3" s="432"/>
      <c r="T3" s="432"/>
      <c r="U3" s="432"/>
      <c r="V3" s="432"/>
      <c r="W3" s="432"/>
      <c r="X3" s="432"/>
      <c r="Y3" s="432"/>
    </row>
    <row r="4" spans="1:25" s="11" customFormat="1" ht="21" customHeight="1">
      <c r="A4" s="517"/>
      <c r="B4" s="586"/>
      <c r="C4" s="586"/>
      <c r="D4" s="586"/>
      <c r="E4" s="586"/>
      <c r="F4" s="66">
        <v>1</v>
      </c>
      <c r="G4" s="66">
        <v>2</v>
      </c>
      <c r="H4" s="66">
        <v>3</v>
      </c>
      <c r="I4" s="66">
        <v>4</v>
      </c>
      <c r="J4" s="66">
        <v>5</v>
      </c>
      <c r="K4" s="66">
        <v>6</v>
      </c>
      <c r="L4" s="66">
        <v>7</v>
      </c>
      <c r="M4" s="66">
        <v>8</v>
      </c>
      <c r="N4" s="66">
        <v>9</v>
      </c>
      <c r="O4" s="66">
        <v>10</v>
      </c>
      <c r="P4" s="581"/>
      <c r="Q4" s="584"/>
      <c r="R4" s="585"/>
      <c r="S4" s="432"/>
      <c r="T4" s="432"/>
      <c r="U4" s="432"/>
      <c r="V4" s="432"/>
      <c r="W4" s="432"/>
      <c r="X4" s="432"/>
      <c r="Y4" s="432"/>
    </row>
    <row r="5" spans="1:25" s="131" customFormat="1" ht="13.5" customHeight="1">
      <c r="A5" s="116">
        <v>1</v>
      </c>
      <c r="B5" s="394" t="s">
        <v>209</v>
      </c>
      <c r="C5" s="395">
        <v>120</v>
      </c>
      <c r="D5" s="115">
        <v>56</v>
      </c>
      <c r="E5" s="168">
        <f>C5*D5/100</f>
        <v>67.2</v>
      </c>
      <c r="F5" s="117">
        <f>Меню!L4</f>
        <v>60</v>
      </c>
      <c r="G5" s="117">
        <f>Меню!L125</f>
        <v>70</v>
      </c>
      <c r="H5" s="117">
        <f>Меню!L192</f>
        <v>50</v>
      </c>
      <c r="I5" s="117">
        <f>Меню!M307</f>
        <v>70</v>
      </c>
      <c r="J5" s="117">
        <f>Меню!M337</f>
        <v>80</v>
      </c>
      <c r="K5" s="117">
        <f>Меню!P680</f>
        <v>70</v>
      </c>
      <c r="L5" s="117">
        <f>Меню!M679</f>
        <v>70</v>
      </c>
      <c r="M5" s="117">
        <f>Меню!O717</f>
        <v>70</v>
      </c>
      <c r="N5" s="117">
        <f>Меню!N751</f>
        <v>70</v>
      </c>
      <c r="O5" s="117">
        <f>Меню!N956</f>
        <v>60</v>
      </c>
      <c r="P5" s="117">
        <f aca="true" t="shared" si="0" ref="P5:P35">SUM(F5:O5)</f>
        <v>670</v>
      </c>
      <c r="Q5" s="168">
        <f>P5/10</f>
        <v>67</v>
      </c>
      <c r="R5" s="118">
        <f aca="true" t="shared" si="1" ref="R5:R16">Q5*100/E5</f>
        <v>99.70238095238095</v>
      </c>
      <c r="S5" s="433"/>
      <c r="T5" s="433"/>
      <c r="U5" s="433"/>
      <c r="V5" s="433"/>
      <c r="W5" s="433"/>
      <c r="X5" s="433"/>
      <c r="Y5" s="433"/>
    </row>
    <row r="6" spans="1:25" s="131" customFormat="1" ht="13.5" customHeight="1">
      <c r="A6" s="116">
        <v>2</v>
      </c>
      <c r="B6" s="394" t="s">
        <v>162</v>
      </c>
      <c r="C6" s="395">
        <v>200</v>
      </c>
      <c r="D6" s="115">
        <v>48.5</v>
      </c>
      <c r="E6" s="168">
        <f aca="true" t="shared" si="2" ref="E6:E35">C6*D6/100</f>
        <v>97</v>
      </c>
      <c r="F6" s="117">
        <f>Меню!L5</f>
        <v>100</v>
      </c>
      <c r="G6" s="117">
        <f>Меню!L126</f>
        <v>68</v>
      </c>
      <c r="H6" s="117">
        <f>Меню!L193</f>
        <v>100</v>
      </c>
      <c r="I6" s="117">
        <f>Меню!M308</f>
        <v>115</v>
      </c>
      <c r="J6" s="117">
        <f>Меню!M338</f>
        <v>90</v>
      </c>
      <c r="K6" s="117">
        <f>Меню!P681</f>
        <v>90</v>
      </c>
      <c r="L6" s="117">
        <f>Меню!M680</f>
        <v>111</v>
      </c>
      <c r="M6" s="117">
        <f>Меню!O718</f>
        <v>116</v>
      </c>
      <c r="N6" s="117">
        <f>Меню!N752</f>
        <v>107</v>
      </c>
      <c r="O6" s="117">
        <f>Меню!N957</f>
        <v>77</v>
      </c>
      <c r="P6" s="117">
        <f t="shared" si="0"/>
        <v>974</v>
      </c>
      <c r="Q6" s="168">
        <f aca="true" t="shared" si="3" ref="Q6:Q35">P6/10</f>
        <v>97.4</v>
      </c>
      <c r="R6" s="118">
        <f t="shared" si="1"/>
        <v>100.41237113402062</v>
      </c>
      <c r="S6" s="433"/>
      <c r="T6" s="433"/>
      <c r="U6" s="433"/>
      <c r="V6" s="433"/>
      <c r="W6" s="433"/>
      <c r="X6" s="433"/>
      <c r="Y6" s="433"/>
    </row>
    <row r="7" spans="1:25" s="131" customFormat="1" ht="13.5" customHeight="1">
      <c r="A7" s="116">
        <v>3</v>
      </c>
      <c r="B7" s="116" t="s">
        <v>192</v>
      </c>
      <c r="C7" s="395">
        <v>20</v>
      </c>
      <c r="D7" s="117">
        <v>43</v>
      </c>
      <c r="E7" s="168">
        <f t="shared" si="2"/>
        <v>8.6</v>
      </c>
      <c r="F7" s="117">
        <f>Меню!L6</f>
        <v>2.5</v>
      </c>
      <c r="G7" s="117">
        <f>Меню!L127</f>
        <v>45</v>
      </c>
      <c r="H7" s="117">
        <f>Меню!L194</f>
        <v>23.136363636363637</v>
      </c>
      <c r="I7" s="117">
        <f>Меню!M309</f>
        <v>8.3</v>
      </c>
      <c r="J7" s="117">
        <f>Меню!M339</f>
        <v>0</v>
      </c>
      <c r="K7" s="117">
        <f>Меню!P682</f>
        <v>4</v>
      </c>
      <c r="L7" s="117">
        <f>Меню!M681</f>
        <v>0</v>
      </c>
      <c r="M7" s="117">
        <f>Меню!O719</f>
        <v>0</v>
      </c>
      <c r="N7" s="117">
        <f>Меню!N753</f>
        <v>0</v>
      </c>
      <c r="O7" s="117">
        <f>Меню!N958</f>
        <v>3</v>
      </c>
      <c r="P7" s="117">
        <f t="shared" si="0"/>
        <v>85.93636363636364</v>
      </c>
      <c r="Q7" s="168">
        <f t="shared" si="3"/>
        <v>8.593636363636364</v>
      </c>
      <c r="R7" s="118">
        <f t="shared" si="1"/>
        <v>99.92600422832982</v>
      </c>
      <c r="S7" s="433"/>
      <c r="T7" s="433"/>
      <c r="U7" s="433"/>
      <c r="V7" s="433"/>
      <c r="W7" s="433"/>
      <c r="X7" s="433"/>
      <c r="Y7" s="433"/>
    </row>
    <row r="8" spans="1:25" s="131" customFormat="1" ht="13.5" customHeight="1">
      <c r="A8" s="116">
        <v>4</v>
      </c>
      <c r="B8" s="394" t="s">
        <v>88</v>
      </c>
      <c r="C8" s="396">
        <v>50</v>
      </c>
      <c r="D8" s="115">
        <v>87</v>
      </c>
      <c r="E8" s="168">
        <f t="shared" si="2"/>
        <v>43.5</v>
      </c>
      <c r="F8" s="117">
        <f>Меню!L7</f>
        <v>26</v>
      </c>
      <c r="G8" s="117">
        <f>Меню!L128</f>
        <v>64</v>
      </c>
      <c r="H8" s="117">
        <f>Меню!L195</f>
        <v>5</v>
      </c>
      <c r="I8" s="117">
        <f>Меню!M310</f>
        <v>45</v>
      </c>
      <c r="J8" s="117">
        <f>Меню!M340</f>
        <v>51</v>
      </c>
      <c r="K8" s="117">
        <f>Меню!P683</f>
        <v>105</v>
      </c>
      <c r="L8" s="117">
        <f>Меню!M682</f>
        <v>16.666666666666668</v>
      </c>
      <c r="M8" s="117">
        <f>Меню!O720</f>
        <v>45</v>
      </c>
      <c r="N8" s="117">
        <f>Меню!N754</f>
        <v>12.363636363636363</v>
      </c>
      <c r="O8" s="117">
        <f>Меню!N959</f>
        <v>65</v>
      </c>
      <c r="P8" s="117">
        <f t="shared" si="0"/>
        <v>435.03030303030306</v>
      </c>
      <c r="Q8" s="168">
        <f t="shared" si="3"/>
        <v>43.50303030303031</v>
      </c>
      <c r="R8" s="118">
        <f t="shared" si="1"/>
        <v>100.00696621386278</v>
      </c>
      <c r="S8" s="433"/>
      <c r="T8" s="433"/>
      <c r="U8" s="433"/>
      <c r="V8" s="433"/>
      <c r="W8" s="433"/>
      <c r="X8" s="433"/>
      <c r="Y8" s="433"/>
    </row>
    <row r="9" spans="1:25" s="131" customFormat="1" ht="13.5" customHeight="1">
      <c r="A9" s="116">
        <v>5</v>
      </c>
      <c r="B9" s="394" t="s">
        <v>210</v>
      </c>
      <c r="C9" s="396">
        <v>20</v>
      </c>
      <c r="D9" s="115">
        <v>69</v>
      </c>
      <c r="E9" s="168">
        <f t="shared" si="2"/>
        <v>13.8</v>
      </c>
      <c r="F9" s="117">
        <f>Меню!L8</f>
        <v>0</v>
      </c>
      <c r="G9" s="117">
        <f>Меню!L129</f>
        <v>65</v>
      </c>
      <c r="H9" s="117">
        <f>Меню!L196</f>
        <v>0</v>
      </c>
      <c r="I9" s="117">
        <f>Меню!M311</f>
        <v>0</v>
      </c>
      <c r="J9" s="117">
        <f>Меню!M341</f>
        <v>0</v>
      </c>
      <c r="K9" s="117">
        <f>Меню!P684</f>
        <v>0</v>
      </c>
      <c r="L9" s="117">
        <f>Меню!M683</f>
        <v>65</v>
      </c>
      <c r="M9" s="117">
        <f>Меню!O721</f>
        <v>8</v>
      </c>
      <c r="N9" s="117">
        <f>Меню!N755</f>
        <v>0</v>
      </c>
      <c r="O9" s="117" t="str">
        <f>Меню!N960</f>
        <v> </v>
      </c>
      <c r="P9" s="117">
        <f t="shared" si="0"/>
        <v>138</v>
      </c>
      <c r="Q9" s="168">
        <f t="shared" si="3"/>
        <v>13.8</v>
      </c>
      <c r="R9" s="118">
        <f t="shared" si="1"/>
        <v>100</v>
      </c>
      <c r="S9" s="433"/>
      <c r="T9" s="433"/>
      <c r="U9" s="433"/>
      <c r="V9" s="433"/>
      <c r="W9" s="433"/>
      <c r="X9" s="433"/>
      <c r="Y9" s="433"/>
    </row>
    <row r="10" spans="1:25" s="131" customFormat="1" ht="13.5" customHeight="1">
      <c r="A10" s="116">
        <v>6</v>
      </c>
      <c r="B10" s="116" t="s">
        <v>30</v>
      </c>
      <c r="C10" s="395">
        <v>187</v>
      </c>
      <c r="D10" s="115">
        <v>84</v>
      </c>
      <c r="E10" s="168">
        <f t="shared" si="2"/>
        <v>157.08</v>
      </c>
      <c r="F10" s="117">
        <f>Меню!L9</f>
        <v>231</v>
      </c>
      <c r="G10" s="117">
        <f>Меню!L130</f>
        <v>58</v>
      </c>
      <c r="H10" s="117">
        <f>Меню!L197</f>
        <v>228</v>
      </c>
      <c r="I10" s="117">
        <f>Меню!M312</f>
        <v>42</v>
      </c>
      <c r="J10" s="117">
        <f>Меню!M342</f>
        <v>100</v>
      </c>
      <c r="K10" s="117">
        <f>Меню!P685</f>
        <v>43.333333333333336</v>
      </c>
      <c r="L10" s="117">
        <f>Меню!M684</f>
        <v>232</v>
      </c>
      <c r="M10" s="117">
        <f>Меню!O722</f>
        <v>211</v>
      </c>
      <c r="N10" s="117">
        <f>Меню!N756</f>
        <v>193</v>
      </c>
      <c r="O10" s="117">
        <f>Меню!N961</f>
        <v>227</v>
      </c>
      <c r="P10" s="117">
        <f t="shared" si="0"/>
        <v>1565.3333333333335</v>
      </c>
      <c r="Q10" s="168">
        <f t="shared" si="3"/>
        <v>156.53333333333336</v>
      </c>
      <c r="R10" s="118">
        <f t="shared" si="1"/>
        <v>99.65198200492318</v>
      </c>
      <c r="S10" s="433"/>
      <c r="T10" s="433"/>
      <c r="U10" s="433"/>
      <c r="V10" s="433"/>
      <c r="W10" s="433"/>
      <c r="X10" s="433"/>
      <c r="Y10" s="433"/>
    </row>
    <row r="11" spans="1:25" s="131" customFormat="1" ht="27.75" customHeight="1">
      <c r="A11" s="116">
        <v>7</v>
      </c>
      <c r="B11" s="394" t="s">
        <v>414</v>
      </c>
      <c r="C11" s="395">
        <v>320</v>
      </c>
      <c r="D11" s="115">
        <v>66.5</v>
      </c>
      <c r="E11" s="168">
        <f t="shared" si="2"/>
        <v>212.8</v>
      </c>
      <c r="F11" s="117">
        <f>Меню!L10</f>
        <v>146.7</v>
      </c>
      <c r="G11" s="117">
        <f>Меню!L131</f>
        <v>213</v>
      </c>
      <c r="H11" s="117">
        <f>Меню!L198</f>
        <v>124.2</v>
      </c>
      <c r="I11" s="117">
        <f>Меню!M313</f>
        <v>466.4</v>
      </c>
      <c r="J11" s="117">
        <f>Меню!M343</f>
        <v>228.2</v>
      </c>
      <c r="K11" s="117">
        <f>Меню!P686</f>
        <v>201.83333333333331</v>
      </c>
      <c r="L11" s="117">
        <f>Меню!M685</f>
        <v>248.875</v>
      </c>
      <c r="M11" s="117">
        <f>Меню!O723</f>
        <v>126.3</v>
      </c>
      <c r="N11" s="117">
        <f>Меню!N757</f>
        <v>183</v>
      </c>
      <c r="O11" s="117">
        <f>Меню!N962</f>
        <v>193.7</v>
      </c>
      <c r="P11" s="117">
        <f t="shared" si="0"/>
        <v>2132.208333333333</v>
      </c>
      <c r="Q11" s="168">
        <f t="shared" si="3"/>
        <v>213.2208333333333</v>
      </c>
      <c r="R11" s="118">
        <f t="shared" si="1"/>
        <v>100.19776002506264</v>
      </c>
      <c r="S11" s="433"/>
      <c r="T11" s="433"/>
      <c r="U11" s="433"/>
      <c r="V11" s="433"/>
      <c r="W11" s="433"/>
      <c r="X11" s="433"/>
      <c r="Y11" s="433"/>
    </row>
    <row r="12" spans="1:25" s="131" customFormat="1" ht="13.5" customHeight="1">
      <c r="A12" s="116">
        <v>8</v>
      </c>
      <c r="B12" s="116" t="s">
        <v>32</v>
      </c>
      <c r="C12" s="395">
        <v>185</v>
      </c>
      <c r="D12" s="115">
        <v>48.8</v>
      </c>
      <c r="E12" s="168">
        <f t="shared" si="2"/>
        <v>90.28</v>
      </c>
      <c r="F12" s="117">
        <f>Меню!L11</f>
        <v>150</v>
      </c>
      <c r="G12" s="117">
        <f>Меню!L132</f>
        <v>0</v>
      </c>
      <c r="H12" s="117">
        <f>Меню!L199</f>
        <v>31</v>
      </c>
      <c r="I12" s="117">
        <f>Меню!M314</f>
        <v>0</v>
      </c>
      <c r="J12" s="117">
        <f>Меню!M344</f>
        <v>185</v>
      </c>
      <c r="K12" s="117">
        <f>Меню!P687</f>
        <v>150</v>
      </c>
      <c r="L12" s="117">
        <f>Меню!M686</f>
        <v>26.4</v>
      </c>
      <c r="M12" s="117">
        <f>Меню!O724</f>
        <v>31</v>
      </c>
      <c r="N12" s="117">
        <f>Меню!N758</f>
        <v>181</v>
      </c>
      <c r="O12" s="117">
        <f>Меню!N963</f>
        <v>150</v>
      </c>
      <c r="P12" s="117">
        <f t="shared" si="0"/>
        <v>904.4</v>
      </c>
      <c r="Q12" s="168">
        <f t="shared" si="3"/>
        <v>90.44</v>
      </c>
      <c r="R12" s="118">
        <f t="shared" si="1"/>
        <v>100.1772264067346</v>
      </c>
      <c r="S12" s="433"/>
      <c r="T12" s="433"/>
      <c r="U12" s="433"/>
      <c r="V12" s="433"/>
      <c r="W12" s="433"/>
      <c r="X12" s="433"/>
      <c r="Y12" s="433"/>
    </row>
    <row r="13" spans="1:25" s="131" customFormat="1" ht="13.5" customHeight="1">
      <c r="A13" s="116">
        <v>9</v>
      </c>
      <c r="B13" s="116" t="s">
        <v>211</v>
      </c>
      <c r="C13" s="395">
        <v>20</v>
      </c>
      <c r="D13" s="115">
        <v>25</v>
      </c>
      <c r="E13" s="168">
        <f t="shared" si="2"/>
        <v>5</v>
      </c>
      <c r="F13" s="117">
        <f>Меню!L12</f>
        <v>0</v>
      </c>
      <c r="G13" s="117">
        <f>Меню!L133</f>
        <v>0</v>
      </c>
      <c r="H13" s="117">
        <f>Меню!L200</f>
        <v>0</v>
      </c>
      <c r="I13" s="117">
        <f>Меню!M315</f>
        <v>25</v>
      </c>
      <c r="J13" s="117">
        <f>Меню!M345</f>
        <v>0</v>
      </c>
      <c r="K13" s="117">
        <f>Меню!P688</f>
        <v>25</v>
      </c>
      <c r="L13" s="117">
        <f>Меню!M687</f>
        <v>0</v>
      </c>
      <c r="M13" s="117">
        <f>Меню!O725</f>
        <v>0</v>
      </c>
      <c r="N13" s="117">
        <f>Меню!N759</f>
        <v>0</v>
      </c>
      <c r="O13" s="117">
        <f>Меню!N964</f>
        <v>0</v>
      </c>
      <c r="P13" s="117">
        <f t="shared" si="0"/>
        <v>50</v>
      </c>
      <c r="Q13" s="168">
        <f t="shared" si="3"/>
        <v>5</v>
      </c>
      <c r="R13" s="118">
        <f t="shared" si="1"/>
        <v>100</v>
      </c>
      <c r="S13" s="433"/>
      <c r="T13" s="433"/>
      <c r="U13" s="433"/>
      <c r="V13" s="433"/>
      <c r="W13" s="433"/>
      <c r="X13" s="433"/>
      <c r="Y13" s="433"/>
    </row>
    <row r="14" spans="1:25" s="131" customFormat="1" ht="38.25" customHeight="1">
      <c r="A14" s="116">
        <v>10</v>
      </c>
      <c r="B14" s="394" t="s">
        <v>415</v>
      </c>
      <c r="C14" s="397">
        <v>35</v>
      </c>
      <c r="D14" s="115">
        <v>71.5</v>
      </c>
      <c r="E14" s="168">
        <f t="shared" si="2"/>
        <v>25.025</v>
      </c>
      <c r="F14" s="117">
        <f>Меню!L13</f>
        <v>9</v>
      </c>
      <c r="G14" s="117">
        <f>Меню!L134</f>
        <v>24</v>
      </c>
      <c r="H14" s="117">
        <f>Меню!L201</f>
        <v>47.13636363636364</v>
      </c>
      <c r="I14" s="117">
        <f>Меню!M316</f>
        <v>29.5</v>
      </c>
      <c r="J14" s="117">
        <f>Меню!M346</f>
        <v>27</v>
      </c>
      <c r="K14" s="117">
        <f>Меню!P689</f>
        <v>19.6</v>
      </c>
      <c r="L14" s="117">
        <f>Меню!M688</f>
        <v>28</v>
      </c>
      <c r="M14" s="117">
        <f>Меню!O726</f>
        <v>15</v>
      </c>
      <c r="N14" s="117">
        <f>Меню!N760</f>
        <v>40</v>
      </c>
      <c r="O14" s="117">
        <f>Меню!N965</f>
        <v>12</v>
      </c>
      <c r="P14" s="117">
        <f t="shared" si="0"/>
        <v>251.23636363636362</v>
      </c>
      <c r="Q14" s="168">
        <f t="shared" si="3"/>
        <v>25.12363636363636</v>
      </c>
      <c r="R14" s="118">
        <f t="shared" si="1"/>
        <v>100.39415130324221</v>
      </c>
      <c r="S14" s="433"/>
      <c r="T14" s="433"/>
      <c r="U14" s="433"/>
      <c r="V14" s="433"/>
      <c r="W14" s="433"/>
      <c r="X14" s="433"/>
      <c r="Y14" s="433"/>
    </row>
    <row r="15" spans="1:25" s="398" customFormat="1" ht="12.75" customHeight="1">
      <c r="A15" s="116">
        <v>11</v>
      </c>
      <c r="B15" s="394" t="s">
        <v>482</v>
      </c>
      <c r="C15" s="397">
        <v>200</v>
      </c>
      <c r="D15" s="115">
        <v>40</v>
      </c>
      <c r="E15" s="168">
        <f t="shared" si="2"/>
        <v>80</v>
      </c>
      <c r="F15" s="117">
        <f>Меню!L14</f>
        <v>200</v>
      </c>
      <c r="G15" s="117">
        <f>Меню!L135</f>
        <v>200</v>
      </c>
      <c r="H15" s="117">
        <f>Меню!L202</f>
        <v>0</v>
      </c>
      <c r="I15" s="117">
        <f>Меню!M317</f>
        <v>0</v>
      </c>
      <c r="J15" s="117">
        <f>Меню!M347</f>
        <v>0</v>
      </c>
      <c r="K15" s="117">
        <f>Меню!P690</f>
        <v>0</v>
      </c>
      <c r="L15" s="117">
        <f>Меню!M689</f>
        <v>0</v>
      </c>
      <c r="M15" s="117">
        <f>Меню!O727</f>
        <v>200</v>
      </c>
      <c r="N15" s="117">
        <f>Меню!N761</f>
        <v>0</v>
      </c>
      <c r="O15" s="117">
        <f>Меню!N966</f>
        <v>200</v>
      </c>
      <c r="P15" s="117">
        <f t="shared" si="0"/>
        <v>800</v>
      </c>
      <c r="Q15" s="168">
        <f t="shared" si="3"/>
        <v>80</v>
      </c>
      <c r="R15" s="118">
        <f t="shared" si="1"/>
        <v>100</v>
      </c>
      <c r="S15" s="434"/>
      <c r="T15" s="434"/>
      <c r="U15" s="434"/>
      <c r="V15" s="434"/>
      <c r="W15" s="434"/>
      <c r="X15" s="434"/>
      <c r="Y15" s="434"/>
    </row>
    <row r="16" spans="1:25" s="398" customFormat="1" ht="12.75" customHeight="1">
      <c r="A16" s="116">
        <v>12</v>
      </c>
      <c r="B16" s="116" t="s">
        <v>36</v>
      </c>
      <c r="C16" s="395">
        <v>15</v>
      </c>
      <c r="D16" s="115">
        <v>20</v>
      </c>
      <c r="E16" s="168">
        <f t="shared" si="2"/>
        <v>3</v>
      </c>
      <c r="F16" s="117">
        <f>Меню!L15</f>
        <v>0</v>
      </c>
      <c r="G16" s="117">
        <f>Меню!L136</f>
        <v>0</v>
      </c>
      <c r="H16" s="117">
        <f>Меню!L203</f>
        <v>0</v>
      </c>
      <c r="I16" s="117">
        <f>Меню!M318</f>
        <v>0</v>
      </c>
      <c r="J16" s="117">
        <f>Меню!M348</f>
        <v>30</v>
      </c>
      <c r="K16" s="117">
        <f>Меню!P691</f>
        <v>0</v>
      </c>
      <c r="L16" s="117">
        <f>Меню!M690</f>
        <v>0</v>
      </c>
      <c r="M16" s="117">
        <f>Меню!O728</f>
        <v>0</v>
      </c>
      <c r="N16" s="117">
        <f>Меню!N762</f>
        <v>0</v>
      </c>
      <c r="O16" s="117">
        <f>Меню!N967</f>
        <v>0</v>
      </c>
      <c r="P16" s="117">
        <f t="shared" si="0"/>
        <v>30</v>
      </c>
      <c r="Q16" s="168">
        <f t="shared" si="3"/>
        <v>3</v>
      </c>
      <c r="R16" s="118">
        <f t="shared" si="1"/>
        <v>100</v>
      </c>
      <c r="S16" s="434"/>
      <c r="T16" s="434"/>
      <c r="U16" s="434"/>
      <c r="V16" s="434"/>
      <c r="W16" s="434"/>
      <c r="X16" s="434"/>
      <c r="Y16" s="434"/>
    </row>
    <row r="17" spans="1:25" s="131" customFormat="1" ht="12.75" customHeight="1">
      <c r="A17" s="116">
        <v>13</v>
      </c>
      <c r="B17" s="116" t="s">
        <v>96</v>
      </c>
      <c r="C17" s="395">
        <v>0.3</v>
      </c>
      <c r="D17" s="115">
        <v>33.5</v>
      </c>
      <c r="E17" s="168">
        <f t="shared" si="2"/>
        <v>0.10049999999999999</v>
      </c>
      <c r="F17" s="141">
        <f>Меню!L16</f>
        <v>0</v>
      </c>
      <c r="G17" s="141">
        <f>Меню!L137</f>
        <v>1</v>
      </c>
      <c r="H17" s="141">
        <f>Меню!L204</f>
        <v>0</v>
      </c>
      <c r="I17" s="141">
        <f>Меню!M319</f>
        <v>0</v>
      </c>
      <c r="J17" s="141">
        <f>Меню!M349</f>
        <v>0</v>
      </c>
      <c r="K17" s="141">
        <f>Меню!P692</f>
        <v>0</v>
      </c>
      <c r="L17" s="141">
        <f>Меню!M691</f>
        <v>0</v>
      </c>
      <c r="M17" s="141">
        <f>Меню!O729</f>
        <v>0</v>
      </c>
      <c r="N17" s="141">
        <f>Меню!N763</f>
        <v>0</v>
      </c>
      <c r="O17" s="141">
        <f>Меню!N968</f>
        <v>0</v>
      </c>
      <c r="P17" s="117">
        <f t="shared" si="0"/>
        <v>1</v>
      </c>
      <c r="Q17" s="168">
        <f t="shared" si="3"/>
        <v>0.1</v>
      </c>
      <c r="R17" s="118">
        <f aca="true" t="shared" si="4" ref="R17:R35">Q17*100/E17</f>
        <v>99.50248756218906</v>
      </c>
      <c r="S17" s="433"/>
      <c r="T17" s="433"/>
      <c r="U17" s="433"/>
      <c r="V17" s="433"/>
      <c r="W17" s="433"/>
      <c r="X17" s="433"/>
      <c r="Y17" s="433"/>
    </row>
    <row r="18" spans="1:25" s="131" customFormat="1" ht="12.75" customHeight="1">
      <c r="A18" s="116">
        <v>14</v>
      </c>
      <c r="B18" s="394" t="s">
        <v>54</v>
      </c>
      <c r="C18" s="395">
        <v>1.2</v>
      </c>
      <c r="D18" s="115">
        <v>83.5</v>
      </c>
      <c r="E18" s="168">
        <f t="shared" si="2"/>
        <v>1.002</v>
      </c>
      <c r="F18" s="117">
        <f>Меню!L17</f>
        <v>5</v>
      </c>
      <c r="G18" s="117">
        <f>Меню!L138</f>
        <v>0</v>
      </c>
      <c r="H18" s="117">
        <f>Меню!L205</f>
        <v>0</v>
      </c>
      <c r="I18" s="117">
        <f>Меню!M320</f>
        <v>0</v>
      </c>
      <c r="J18" s="117">
        <f>Меню!M350</f>
        <v>0</v>
      </c>
      <c r="K18" s="117">
        <f>Меню!P693</f>
        <v>5</v>
      </c>
      <c r="L18" s="117">
        <f>Меню!M692</f>
        <v>0</v>
      </c>
      <c r="M18" s="117">
        <f>Меню!O730</f>
        <v>0</v>
      </c>
      <c r="N18" s="117">
        <f>Меню!N764</f>
        <v>0</v>
      </c>
      <c r="O18" s="117">
        <f>Меню!N969</f>
        <v>0</v>
      </c>
      <c r="P18" s="117">
        <f t="shared" si="0"/>
        <v>10</v>
      </c>
      <c r="Q18" s="168">
        <f t="shared" si="3"/>
        <v>1</v>
      </c>
      <c r="R18" s="118">
        <f t="shared" si="4"/>
        <v>99.8003992015968</v>
      </c>
      <c r="S18" s="433"/>
      <c r="T18" s="433"/>
      <c r="U18" s="433"/>
      <c r="V18" s="433"/>
      <c r="W18" s="433"/>
      <c r="X18" s="433"/>
      <c r="Y18" s="433"/>
    </row>
    <row r="19" spans="1:25" s="131" customFormat="1" ht="12.75" customHeight="1">
      <c r="A19" s="116">
        <v>15</v>
      </c>
      <c r="B19" s="116" t="s">
        <v>212</v>
      </c>
      <c r="C19" s="395">
        <v>2</v>
      </c>
      <c r="D19" s="115">
        <v>40</v>
      </c>
      <c r="E19" s="168">
        <f t="shared" si="2"/>
        <v>0.8</v>
      </c>
      <c r="F19" s="117">
        <f>Меню!L18</f>
        <v>0</v>
      </c>
      <c r="G19" s="117">
        <f>Меню!L139</f>
        <v>0</v>
      </c>
      <c r="H19" s="117">
        <f>Меню!L206</f>
        <v>0</v>
      </c>
      <c r="I19" s="117">
        <f>Меню!M321</f>
        <v>4</v>
      </c>
      <c r="J19" s="117">
        <f>Меню!M351</f>
        <v>0</v>
      </c>
      <c r="K19" s="117">
        <f>Меню!P694</f>
        <v>0</v>
      </c>
      <c r="L19" s="117">
        <f>Меню!M693</f>
        <v>0</v>
      </c>
      <c r="M19" s="117">
        <f>Меню!O731</f>
        <v>4</v>
      </c>
      <c r="N19" s="117">
        <f>Меню!N765</f>
        <v>0</v>
      </c>
      <c r="O19" s="117">
        <f>Меню!N970</f>
        <v>0</v>
      </c>
      <c r="P19" s="117">
        <f t="shared" si="0"/>
        <v>8</v>
      </c>
      <c r="Q19" s="168">
        <f t="shared" si="3"/>
        <v>0.8</v>
      </c>
      <c r="R19" s="118">
        <f t="shared" si="4"/>
        <v>100</v>
      </c>
      <c r="S19" s="433"/>
      <c r="T19" s="433"/>
      <c r="U19" s="433"/>
      <c r="V19" s="433"/>
      <c r="W19" s="433"/>
      <c r="X19" s="433"/>
      <c r="Y19" s="433"/>
    </row>
    <row r="20" spans="1:25" s="131" customFormat="1" ht="12.75" customHeight="1">
      <c r="A20" s="116">
        <v>16</v>
      </c>
      <c r="B20" s="116" t="s">
        <v>37</v>
      </c>
      <c r="C20" s="395">
        <v>2</v>
      </c>
      <c r="D20" s="115">
        <v>60</v>
      </c>
      <c r="E20" s="168">
        <f t="shared" si="2"/>
        <v>1.2</v>
      </c>
      <c r="F20" s="117">
        <f>Меню!L19</f>
        <v>0</v>
      </c>
      <c r="G20" s="141">
        <f>Меню!L140</f>
        <v>2</v>
      </c>
      <c r="H20" s="141">
        <f>Меню!L207</f>
        <v>2</v>
      </c>
      <c r="I20" s="141">
        <f>Меню!M322</f>
        <v>0</v>
      </c>
      <c r="J20" s="141">
        <f>Меню!M352</f>
        <v>2</v>
      </c>
      <c r="K20" s="141">
        <f>Меню!P695</f>
        <v>0</v>
      </c>
      <c r="L20" s="141">
        <f>Меню!M694</f>
        <v>2</v>
      </c>
      <c r="M20" s="141">
        <f>Меню!O732</f>
        <v>0</v>
      </c>
      <c r="N20" s="141">
        <f>Меню!N766</f>
        <v>2</v>
      </c>
      <c r="O20" s="141">
        <f>Меню!N971</f>
        <v>2</v>
      </c>
      <c r="P20" s="117">
        <f t="shared" si="0"/>
        <v>12</v>
      </c>
      <c r="Q20" s="168">
        <f t="shared" si="3"/>
        <v>1.2</v>
      </c>
      <c r="R20" s="118">
        <f t="shared" si="4"/>
        <v>100</v>
      </c>
      <c r="S20" s="433"/>
      <c r="T20" s="433"/>
      <c r="U20" s="433"/>
      <c r="V20" s="433"/>
      <c r="W20" s="433"/>
      <c r="X20" s="433"/>
      <c r="Y20" s="433"/>
    </row>
    <row r="21" spans="1:25" s="131" customFormat="1" ht="12.75" customHeight="1">
      <c r="A21" s="116">
        <v>17</v>
      </c>
      <c r="B21" s="116" t="s">
        <v>213</v>
      </c>
      <c r="C21" s="395">
        <v>78</v>
      </c>
      <c r="D21" s="115">
        <v>87</v>
      </c>
      <c r="E21" s="168">
        <f t="shared" si="2"/>
        <v>67.86</v>
      </c>
      <c r="F21" s="117">
        <f>Меню!L20</f>
        <v>96</v>
      </c>
      <c r="G21" s="117">
        <f>Меню!L141</f>
        <v>74</v>
      </c>
      <c r="H21" s="117">
        <f>Меню!L208</f>
        <v>16</v>
      </c>
      <c r="I21" s="117">
        <f>Меню!M323</f>
        <v>82</v>
      </c>
      <c r="J21" s="117">
        <f>Меню!M353</f>
        <v>79</v>
      </c>
      <c r="K21" s="117">
        <f>Меню!P696</f>
        <v>96</v>
      </c>
      <c r="L21" s="117">
        <f>Меню!M695</f>
        <v>118</v>
      </c>
      <c r="M21" s="117">
        <f>Меню!O733</f>
        <v>100</v>
      </c>
      <c r="N21" s="117">
        <f>Меню!N767</f>
        <v>0</v>
      </c>
      <c r="O21" s="117">
        <f>Меню!N972</f>
        <v>17</v>
      </c>
      <c r="P21" s="117">
        <f t="shared" si="0"/>
        <v>678</v>
      </c>
      <c r="Q21" s="168">
        <f t="shared" si="3"/>
        <v>67.8</v>
      </c>
      <c r="R21" s="118">
        <f t="shared" si="4"/>
        <v>99.91158267020336</v>
      </c>
      <c r="S21" s="433"/>
      <c r="T21" s="433"/>
      <c r="U21" s="433"/>
      <c r="V21" s="433"/>
      <c r="W21" s="433"/>
      <c r="X21" s="433"/>
      <c r="Y21" s="433"/>
    </row>
    <row r="22" spans="1:25" s="131" customFormat="1" ht="12.75" customHeight="1">
      <c r="A22" s="116">
        <v>18</v>
      </c>
      <c r="B22" s="394" t="s">
        <v>215</v>
      </c>
      <c r="C22" s="395">
        <v>53</v>
      </c>
      <c r="D22" s="115">
        <v>71.5</v>
      </c>
      <c r="E22" s="168">
        <f>C22*D22/100</f>
        <v>37.895</v>
      </c>
      <c r="F22" s="117">
        <f>Меню!L21</f>
        <v>0</v>
      </c>
      <c r="G22" s="117">
        <f>Меню!L142</f>
        <v>84</v>
      </c>
      <c r="H22" s="117">
        <f>Меню!L209</f>
        <v>0</v>
      </c>
      <c r="I22" s="117">
        <f>Меню!M324</f>
        <v>145</v>
      </c>
      <c r="J22" s="117">
        <f>Меню!M354</f>
        <v>0</v>
      </c>
      <c r="K22" s="117">
        <f>Меню!P697</f>
        <v>0</v>
      </c>
      <c r="L22" s="117">
        <f>Меню!M696</f>
        <v>0</v>
      </c>
      <c r="M22" s="117">
        <f>Меню!O734</f>
        <v>78</v>
      </c>
      <c r="N22" s="117">
        <f>Меню!N768</f>
        <v>72</v>
      </c>
      <c r="O22" s="117">
        <f>Меню!N973</f>
        <v>0</v>
      </c>
      <c r="P22" s="117">
        <f t="shared" si="0"/>
        <v>379</v>
      </c>
      <c r="Q22" s="168">
        <f t="shared" si="3"/>
        <v>37.9</v>
      </c>
      <c r="R22" s="118">
        <f t="shared" si="4"/>
        <v>100.01319435281698</v>
      </c>
      <c r="S22" s="433"/>
      <c r="T22" s="433"/>
      <c r="U22" s="433"/>
      <c r="V22" s="433"/>
      <c r="W22" s="433"/>
      <c r="X22" s="433"/>
      <c r="Y22" s="433"/>
    </row>
    <row r="23" spans="1:25" s="131" customFormat="1" ht="12.75" customHeight="1">
      <c r="A23" s="116">
        <v>19</v>
      </c>
      <c r="B23" s="116" t="s">
        <v>214</v>
      </c>
      <c r="C23" s="395">
        <v>40</v>
      </c>
      <c r="D23" s="115">
        <v>20.7</v>
      </c>
      <c r="E23" s="168">
        <f t="shared" si="2"/>
        <v>8.28</v>
      </c>
      <c r="F23" s="117">
        <f>Меню!L22</f>
        <v>0</v>
      </c>
      <c r="G23" s="117">
        <f>Меню!L143</f>
        <v>0</v>
      </c>
      <c r="H23" s="117">
        <f>Меню!L210</f>
        <v>0</v>
      </c>
      <c r="I23" s="117">
        <f>Меню!M325</f>
        <v>0</v>
      </c>
      <c r="J23" s="117">
        <f>Меню!M355</f>
        <v>0</v>
      </c>
      <c r="K23" s="117">
        <f>Меню!P698</f>
        <v>0</v>
      </c>
      <c r="L23" s="117">
        <f>Меню!M697</f>
        <v>0</v>
      </c>
      <c r="M23" s="117">
        <f>Меню!O735</f>
        <v>0</v>
      </c>
      <c r="N23" s="117">
        <f>Меню!N769</f>
        <v>0</v>
      </c>
      <c r="O23" s="117">
        <f>Меню!N974</f>
        <v>83</v>
      </c>
      <c r="P23" s="117">
        <f t="shared" si="0"/>
        <v>83</v>
      </c>
      <c r="Q23" s="168">
        <f t="shared" si="3"/>
        <v>8.3</v>
      </c>
      <c r="R23" s="118">
        <f t="shared" si="4"/>
        <v>100.24154589371983</v>
      </c>
      <c r="S23" s="433"/>
      <c r="T23" s="433"/>
      <c r="U23" s="433"/>
      <c r="V23" s="433"/>
      <c r="W23" s="433"/>
      <c r="X23" s="433"/>
      <c r="Y23" s="433"/>
    </row>
    <row r="24" spans="1:25" s="131" customFormat="1" ht="12.75" customHeight="1">
      <c r="A24" s="116">
        <v>20</v>
      </c>
      <c r="B24" s="394" t="s">
        <v>216</v>
      </c>
      <c r="C24" s="395">
        <v>77</v>
      </c>
      <c r="D24" s="115">
        <v>77</v>
      </c>
      <c r="E24" s="168">
        <f t="shared" si="2"/>
        <v>59.29</v>
      </c>
      <c r="F24" s="117">
        <f>Меню!L23</f>
        <v>0</v>
      </c>
      <c r="G24" s="117">
        <f>Меню!L144</f>
        <v>0</v>
      </c>
      <c r="H24" s="117">
        <f>Меню!L211</f>
        <v>143</v>
      </c>
      <c r="I24" s="117">
        <f>Меню!M326</f>
        <v>30</v>
      </c>
      <c r="J24" s="117">
        <f>Меню!M356</f>
        <v>58</v>
      </c>
      <c r="K24" s="117">
        <f>Меню!P699</f>
        <v>0</v>
      </c>
      <c r="L24" s="117">
        <f>Меню!M698</f>
        <v>148</v>
      </c>
      <c r="M24" s="117">
        <f>Меню!O736</f>
        <v>0</v>
      </c>
      <c r="N24" s="117">
        <f>Меню!N770</f>
        <v>50</v>
      </c>
      <c r="O24" s="117">
        <f>Меню!N975</f>
        <v>164</v>
      </c>
      <c r="P24" s="117">
        <f t="shared" si="0"/>
        <v>593</v>
      </c>
      <c r="Q24" s="168">
        <f t="shared" si="3"/>
        <v>59.3</v>
      </c>
      <c r="R24" s="118">
        <f t="shared" si="4"/>
        <v>100.01686625063249</v>
      </c>
      <c r="S24" s="433"/>
      <c r="T24" s="433"/>
      <c r="U24" s="433"/>
      <c r="V24" s="433"/>
      <c r="W24" s="433"/>
      <c r="X24" s="433"/>
      <c r="Y24" s="433"/>
    </row>
    <row r="25" spans="1:25" s="131" customFormat="1" ht="12.75" customHeight="1">
      <c r="A25" s="116">
        <v>21</v>
      </c>
      <c r="B25" s="399" t="s">
        <v>217</v>
      </c>
      <c r="C25" s="396">
        <v>350</v>
      </c>
      <c r="D25" s="115">
        <v>26.7</v>
      </c>
      <c r="E25" s="168">
        <f t="shared" si="2"/>
        <v>93.45</v>
      </c>
      <c r="F25" s="117">
        <f>Меню!L24</f>
        <v>238</v>
      </c>
      <c r="G25" s="117">
        <f>Меню!L145</f>
        <v>17</v>
      </c>
      <c r="H25" s="117">
        <f>Меню!L212</f>
        <v>208.5</v>
      </c>
      <c r="I25" s="117">
        <f>Меню!M327</f>
        <v>70</v>
      </c>
      <c r="J25" s="117">
        <f>Меню!M357</f>
        <v>47</v>
      </c>
      <c r="K25" s="117">
        <f>Меню!P700</f>
        <v>206</v>
      </c>
      <c r="L25" s="117">
        <f>Меню!M699</f>
        <v>18</v>
      </c>
      <c r="M25" s="117">
        <f>Меню!O737</f>
        <v>98</v>
      </c>
      <c r="N25" s="117">
        <f>Меню!N771</f>
        <v>30</v>
      </c>
      <c r="O25" s="117">
        <f>Меню!N976</f>
        <v>1.2</v>
      </c>
      <c r="P25" s="117">
        <f t="shared" si="0"/>
        <v>933.7</v>
      </c>
      <c r="Q25" s="168">
        <f t="shared" si="3"/>
        <v>93.37</v>
      </c>
      <c r="R25" s="118">
        <f t="shared" si="4"/>
        <v>99.91439272338148</v>
      </c>
      <c r="S25" s="433"/>
      <c r="T25" s="433"/>
      <c r="U25" s="433"/>
      <c r="V25" s="433"/>
      <c r="W25" s="433"/>
      <c r="X25" s="433"/>
      <c r="Y25" s="433"/>
    </row>
    <row r="26" spans="1:25" s="398" customFormat="1" ht="12.75" customHeight="1">
      <c r="A26" s="116">
        <v>22</v>
      </c>
      <c r="B26" s="399" t="s">
        <v>218</v>
      </c>
      <c r="C26" s="400">
        <v>180</v>
      </c>
      <c r="D26" s="401">
        <v>13.9</v>
      </c>
      <c r="E26" s="402">
        <f t="shared" si="2"/>
        <v>25.02</v>
      </c>
      <c r="F26" s="117">
        <f>Меню!L25</f>
        <v>0</v>
      </c>
      <c r="G26" s="117">
        <f>Меню!L146</f>
        <v>0</v>
      </c>
      <c r="H26" s="117">
        <f>Меню!L213</f>
        <v>125</v>
      </c>
      <c r="I26" s="117">
        <f>Меню!M328</f>
        <v>0</v>
      </c>
      <c r="J26" s="117">
        <f>Меню!M358</f>
        <v>0</v>
      </c>
      <c r="K26" s="117">
        <f>Меню!P701</f>
        <v>0</v>
      </c>
      <c r="L26" s="117">
        <f>Меню!M700</f>
        <v>0</v>
      </c>
      <c r="M26" s="117">
        <f>Меню!O738</f>
        <v>125</v>
      </c>
      <c r="N26" s="117">
        <f>Меню!N772</f>
        <v>0</v>
      </c>
      <c r="O26" s="117">
        <f>Меню!N977</f>
        <v>0</v>
      </c>
      <c r="P26" s="117">
        <f t="shared" si="0"/>
        <v>250</v>
      </c>
      <c r="Q26" s="168">
        <f t="shared" si="3"/>
        <v>25</v>
      </c>
      <c r="R26" s="118">
        <f t="shared" si="4"/>
        <v>99.92006394884093</v>
      </c>
      <c r="S26" s="434"/>
      <c r="T26" s="434"/>
      <c r="U26" s="434"/>
      <c r="V26" s="434"/>
      <c r="W26" s="434"/>
      <c r="X26" s="434"/>
      <c r="Y26" s="434"/>
    </row>
    <row r="27" spans="1:25" s="131" customFormat="1" ht="12.75" customHeight="1">
      <c r="A27" s="116">
        <v>23</v>
      </c>
      <c r="B27" s="394" t="s">
        <v>219</v>
      </c>
      <c r="C27" s="395">
        <v>60</v>
      </c>
      <c r="D27" s="115">
        <v>47</v>
      </c>
      <c r="E27" s="168">
        <f t="shared" si="2"/>
        <v>28.2</v>
      </c>
      <c r="F27" s="117">
        <f>Меню!L26</f>
        <v>0</v>
      </c>
      <c r="G27" s="117">
        <f>Меню!L147</f>
        <v>0</v>
      </c>
      <c r="H27" s="117">
        <f>Меню!L214</f>
        <v>122.86363636363636</v>
      </c>
      <c r="I27" s="117">
        <f>Меню!M329</f>
        <v>0</v>
      </c>
      <c r="J27" s="117">
        <f>Меню!M359</f>
        <v>0</v>
      </c>
      <c r="K27" s="117">
        <f>Меню!P702</f>
        <v>0</v>
      </c>
      <c r="L27" s="117">
        <f>Меню!M701</f>
        <v>0</v>
      </c>
      <c r="M27" s="117">
        <f>Меню!O739</f>
        <v>0</v>
      </c>
      <c r="N27" s="117">
        <f>Меню!N773</f>
        <v>159.95454545454547</v>
      </c>
      <c r="O27" s="117">
        <f>Меню!N978</f>
        <v>0</v>
      </c>
      <c r="P27" s="117">
        <f t="shared" si="0"/>
        <v>282.8181818181818</v>
      </c>
      <c r="Q27" s="168">
        <f t="shared" si="3"/>
        <v>28.28181818181818</v>
      </c>
      <c r="R27" s="118">
        <f t="shared" si="4"/>
        <v>100.29013539651837</v>
      </c>
      <c r="S27" s="433"/>
      <c r="T27" s="433"/>
      <c r="U27" s="433"/>
      <c r="V27" s="433"/>
      <c r="W27" s="433"/>
      <c r="X27" s="433"/>
      <c r="Y27" s="433"/>
    </row>
    <row r="28" spans="1:25" s="131" customFormat="1" ht="12.75" customHeight="1">
      <c r="A28" s="116">
        <v>24</v>
      </c>
      <c r="B28" s="394" t="s">
        <v>220</v>
      </c>
      <c r="C28" s="395">
        <v>10</v>
      </c>
      <c r="D28" s="115">
        <v>72</v>
      </c>
      <c r="E28" s="168">
        <f t="shared" si="2"/>
        <v>7.2</v>
      </c>
      <c r="F28" s="117">
        <f>Меню!L27</f>
        <v>5</v>
      </c>
      <c r="G28" s="117" t="str">
        <f>Меню!L148</f>
        <v> </v>
      </c>
      <c r="H28" s="117">
        <f>Меню!L215</f>
        <v>21.227272727272727</v>
      </c>
      <c r="I28" s="117">
        <f>Меню!M330</f>
        <v>5</v>
      </c>
      <c r="J28" s="117">
        <f>Меню!M360</f>
        <v>0</v>
      </c>
      <c r="K28" s="117">
        <f>Меню!P703</f>
        <v>17.5</v>
      </c>
      <c r="L28" s="117">
        <f>Меню!M702</f>
        <v>0</v>
      </c>
      <c r="M28" s="117">
        <f>Меню!O740</f>
        <v>0</v>
      </c>
      <c r="N28" s="117">
        <f>Меню!N774</f>
        <v>6</v>
      </c>
      <c r="O28" s="117">
        <f>Меню!N979</f>
        <v>17.5</v>
      </c>
      <c r="P28" s="117">
        <f t="shared" si="0"/>
        <v>72.22727272727272</v>
      </c>
      <c r="Q28" s="168">
        <f t="shared" si="3"/>
        <v>7.222727272727272</v>
      </c>
      <c r="R28" s="118">
        <f t="shared" si="4"/>
        <v>100.31565656565654</v>
      </c>
      <c r="S28" s="433"/>
      <c r="T28" s="433"/>
      <c r="U28" s="433"/>
      <c r="V28" s="433"/>
      <c r="W28" s="433"/>
      <c r="X28" s="433"/>
      <c r="Y28" s="433"/>
    </row>
    <row r="29" spans="1:25" s="131" customFormat="1" ht="12.75" customHeight="1">
      <c r="A29" s="116">
        <v>25</v>
      </c>
      <c r="B29" s="394" t="s">
        <v>221</v>
      </c>
      <c r="C29" s="395">
        <v>15</v>
      </c>
      <c r="D29" s="115">
        <v>46.5</v>
      </c>
      <c r="E29" s="168">
        <f t="shared" si="2"/>
        <v>6.975</v>
      </c>
      <c r="F29" s="117">
        <f>Меню!L28</f>
        <v>20</v>
      </c>
      <c r="G29" s="117">
        <f>Меню!L149</f>
        <v>0</v>
      </c>
      <c r="H29" s="117">
        <f>Меню!L216</f>
        <v>0</v>
      </c>
      <c r="I29" s="117">
        <f>Меню!M331</f>
        <v>0</v>
      </c>
      <c r="J29" s="117">
        <f>Меню!M361</f>
        <v>0</v>
      </c>
      <c r="K29" s="117">
        <f>Меню!P704</f>
        <v>20</v>
      </c>
      <c r="L29" s="117">
        <f>Меню!M703</f>
        <v>0</v>
      </c>
      <c r="M29" s="117">
        <f>Меню!O741</f>
        <v>0</v>
      </c>
      <c r="N29" s="117">
        <f>Меню!N775</f>
        <v>30</v>
      </c>
      <c r="O29" s="117">
        <f>Меню!N980</f>
        <v>0</v>
      </c>
      <c r="P29" s="117">
        <f t="shared" si="0"/>
        <v>70</v>
      </c>
      <c r="Q29" s="168">
        <f t="shared" si="3"/>
        <v>7</v>
      </c>
      <c r="R29" s="118">
        <f t="shared" si="4"/>
        <v>100.3584229390681</v>
      </c>
      <c r="S29" s="433"/>
      <c r="T29" s="433"/>
      <c r="U29" s="433"/>
      <c r="V29" s="433"/>
      <c r="W29" s="433"/>
      <c r="X29" s="433"/>
      <c r="Y29" s="433"/>
    </row>
    <row r="30" spans="1:25" s="131" customFormat="1" ht="12.75" customHeight="1">
      <c r="A30" s="116">
        <v>26</v>
      </c>
      <c r="B30" s="399" t="s">
        <v>46</v>
      </c>
      <c r="C30" s="395">
        <v>35</v>
      </c>
      <c r="D30" s="115">
        <v>64</v>
      </c>
      <c r="E30" s="168">
        <f t="shared" si="2"/>
        <v>22.4</v>
      </c>
      <c r="F30" s="117">
        <f>Меню!L29</f>
        <v>21</v>
      </c>
      <c r="G30" s="117">
        <f>Меню!L150</f>
        <v>21</v>
      </c>
      <c r="H30" s="117">
        <f>Меню!L217</f>
        <v>30.636363636363637</v>
      </c>
      <c r="I30" s="117">
        <f>Меню!M332</f>
        <v>23.3</v>
      </c>
      <c r="J30" s="117">
        <f>Меню!M362</f>
        <v>10</v>
      </c>
      <c r="K30" s="117">
        <f>Меню!P705</f>
        <v>15</v>
      </c>
      <c r="L30" s="117">
        <f>Меню!M704</f>
        <v>27</v>
      </c>
      <c r="M30" s="117">
        <f>Меню!O742</f>
        <v>27</v>
      </c>
      <c r="N30" s="117">
        <f>Меню!N776</f>
        <v>9.636363636363637</v>
      </c>
      <c r="O30" s="117">
        <f>Меню!N981</f>
        <v>40</v>
      </c>
      <c r="P30" s="117">
        <f t="shared" si="0"/>
        <v>224.57272727272726</v>
      </c>
      <c r="Q30" s="168">
        <f t="shared" si="3"/>
        <v>22.457272727272727</v>
      </c>
      <c r="R30" s="118">
        <f t="shared" si="4"/>
        <v>100.25568181818181</v>
      </c>
      <c r="S30" s="433"/>
      <c r="T30" s="433"/>
      <c r="U30" s="433"/>
      <c r="V30" s="433"/>
      <c r="W30" s="433"/>
      <c r="X30" s="433"/>
      <c r="Y30" s="433"/>
    </row>
    <row r="31" spans="1:25" s="131" customFormat="1" ht="12.75" customHeight="1">
      <c r="A31" s="116">
        <v>27</v>
      </c>
      <c r="B31" s="116" t="s">
        <v>47</v>
      </c>
      <c r="C31" s="395">
        <v>18</v>
      </c>
      <c r="D31" s="115">
        <v>66.5</v>
      </c>
      <c r="E31" s="168">
        <f t="shared" si="2"/>
        <v>11.97</v>
      </c>
      <c r="F31" s="117">
        <f>Меню!L30</f>
        <v>9.5</v>
      </c>
      <c r="G31" s="117">
        <f>Меню!L151</f>
        <v>17.2</v>
      </c>
      <c r="H31" s="117">
        <f>Меню!L218</f>
        <v>11</v>
      </c>
      <c r="I31" s="117">
        <f>Меню!M333</f>
        <v>12</v>
      </c>
      <c r="J31" s="117">
        <f>Меню!M363</f>
        <v>15</v>
      </c>
      <c r="K31" s="117">
        <f>Меню!P706</f>
        <v>5</v>
      </c>
      <c r="L31" s="117">
        <f>Меню!M705</f>
        <v>14.2</v>
      </c>
      <c r="M31" s="117">
        <f>Меню!O743</f>
        <v>10</v>
      </c>
      <c r="N31" s="117">
        <f>Меню!N777</f>
        <v>13</v>
      </c>
      <c r="O31" s="117">
        <f>Меню!N982</f>
        <v>13</v>
      </c>
      <c r="P31" s="117">
        <f t="shared" si="0"/>
        <v>119.9</v>
      </c>
      <c r="Q31" s="168">
        <f t="shared" si="3"/>
        <v>11.99</v>
      </c>
      <c r="R31" s="118">
        <f t="shared" si="4"/>
        <v>100.16708437761069</v>
      </c>
      <c r="S31" s="433"/>
      <c r="T31" s="433"/>
      <c r="U31" s="433"/>
      <c r="V31" s="433"/>
      <c r="W31" s="433"/>
      <c r="X31" s="433"/>
      <c r="Y31" s="433"/>
    </row>
    <row r="32" spans="1:25" s="403" customFormat="1" ht="12.75" customHeight="1">
      <c r="A32" s="116">
        <v>28</v>
      </c>
      <c r="B32" s="116" t="s">
        <v>222</v>
      </c>
      <c r="C32" s="395">
        <v>40</v>
      </c>
      <c r="D32" s="115">
        <v>52</v>
      </c>
      <c r="E32" s="168">
        <f t="shared" si="2"/>
        <v>20.8</v>
      </c>
      <c r="F32" s="117">
        <f>Меню!L31</f>
        <v>1.2</v>
      </c>
      <c r="G32" s="117">
        <f>Меню!L152</f>
        <v>22.5</v>
      </c>
      <c r="H32" s="117">
        <f>Меню!L219</f>
        <v>8.5</v>
      </c>
      <c r="I32" s="117">
        <f>Меню!M334</f>
        <v>0</v>
      </c>
      <c r="J32" s="117">
        <f>Меню!M364</f>
        <v>127.5</v>
      </c>
      <c r="K32" s="117">
        <f>Меню!P707</f>
        <v>1.2</v>
      </c>
      <c r="L32" s="117">
        <f>Меню!M706</f>
        <v>0</v>
      </c>
      <c r="M32" s="117">
        <f>Меню!O744</f>
        <v>15.2</v>
      </c>
      <c r="N32" s="117">
        <f>Меню!N778</f>
        <v>6</v>
      </c>
      <c r="O32" s="117">
        <f>Меню!N983</f>
        <v>26.2</v>
      </c>
      <c r="P32" s="117">
        <f t="shared" si="0"/>
        <v>208.29999999999995</v>
      </c>
      <c r="Q32" s="168">
        <f t="shared" si="3"/>
        <v>20.829999999999995</v>
      </c>
      <c r="R32" s="118">
        <f t="shared" si="4"/>
        <v>100.14423076923075</v>
      </c>
      <c r="S32" s="435"/>
      <c r="T32" s="435"/>
      <c r="U32" s="435"/>
      <c r="V32" s="435"/>
      <c r="W32" s="435"/>
      <c r="X32" s="435"/>
      <c r="Y32" s="435"/>
    </row>
    <row r="33" spans="1:25" s="403" customFormat="1" ht="12.75" customHeight="1">
      <c r="A33" s="116">
        <v>29</v>
      </c>
      <c r="B33" s="116" t="s">
        <v>437</v>
      </c>
      <c r="C33" s="395">
        <v>4</v>
      </c>
      <c r="D33" s="115">
        <v>30</v>
      </c>
      <c r="E33" s="168">
        <f>C33*D33/100</f>
        <v>1.2</v>
      </c>
      <c r="F33" s="117">
        <f>'[1]Меню'!L32</f>
        <v>0</v>
      </c>
      <c r="G33" s="117">
        <f>'[1]Меню'!L153</f>
        <v>0</v>
      </c>
      <c r="H33" s="117">
        <f>Меню!L220</f>
        <v>6</v>
      </c>
      <c r="I33" s="117">
        <f>Меню!M335</f>
        <v>0</v>
      </c>
      <c r="J33" s="117">
        <f>Меню!M365</f>
        <v>0</v>
      </c>
      <c r="K33" s="117">
        <f>Меню!P708</f>
        <v>0</v>
      </c>
      <c r="L33" s="117">
        <f>Меню!M707</f>
        <v>0</v>
      </c>
      <c r="M33" s="117">
        <f>Меню!O745</f>
        <v>0</v>
      </c>
      <c r="N33" s="117">
        <f>Меню!N779</f>
        <v>6</v>
      </c>
      <c r="O33" s="117">
        <f>Меню!N984</f>
        <v>0</v>
      </c>
      <c r="P33" s="117">
        <f>SUM(F33:O33)</f>
        <v>12</v>
      </c>
      <c r="Q33" s="168">
        <f>P33/10</f>
        <v>1.2</v>
      </c>
      <c r="R33" s="118">
        <f t="shared" si="4"/>
        <v>100</v>
      </c>
      <c r="S33" s="435"/>
      <c r="T33" s="435"/>
      <c r="U33" s="435"/>
      <c r="V33" s="435"/>
      <c r="W33" s="435"/>
      <c r="X33" s="435"/>
      <c r="Y33" s="435"/>
    </row>
    <row r="34" spans="1:25" s="131" customFormat="1" ht="12.75" customHeight="1">
      <c r="A34" s="116">
        <v>30</v>
      </c>
      <c r="B34" s="116" t="s">
        <v>223</v>
      </c>
      <c r="C34" s="395">
        <v>2</v>
      </c>
      <c r="D34" s="115">
        <v>60</v>
      </c>
      <c r="E34" s="168">
        <f t="shared" si="2"/>
        <v>1.2</v>
      </c>
      <c r="F34" s="141">
        <v>1.2</v>
      </c>
      <c r="G34" s="141">
        <v>1.2</v>
      </c>
      <c r="H34" s="141">
        <v>1.2</v>
      </c>
      <c r="I34" s="141">
        <v>1.2</v>
      </c>
      <c r="J34" s="141">
        <v>1.2</v>
      </c>
      <c r="K34" s="141">
        <v>1.2</v>
      </c>
      <c r="L34" s="141">
        <v>1.2</v>
      </c>
      <c r="M34" s="141">
        <v>1.2</v>
      </c>
      <c r="N34" s="141">
        <v>1.2</v>
      </c>
      <c r="O34" s="141">
        <v>1.2</v>
      </c>
      <c r="P34" s="117">
        <f t="shared" si="0"/>
        <v>11.999999999999998</v>
      </c>
      <c r="Q34" s="168">
        <f t="shared" si="3"/>
        <v>1.1999999999999997</v>
      </c>
      <c r="R34" s="118">
        <f t="shared" si="4"/>
        <v>99.99999999999999</v>
      </c>
      <c r="S34" s="433"/>
      <c r="T34" s="433"/>
      <c r="U34" s="433"/>
      <c r="V34" s="433"/>
      <c r="W34" s="433"/>
      <c r="X34" s="433"/>
      <c r="Y34" s="433"/>
    </row>
    <row r="35" spans="1:26" s="131" customFormat="1" ht="12.75" customHeight="1">
      <c r="A35" s="116">
        <v>31</v>
      </c>
      <c r="B35" s="394" t="s">
        <v>224</v>
      </c>
      <c r="C35" s="395">
        <v>5</v>
      </c>
      <c r="D35" s="115">
        <v>60</v>
      </c>
      <c r="E35" s="168">
        <f t="shared" si="2"/>
        <v>3</v>
      </c>
      <c r="F35" s="141">
        <v>3</v>
      </c>
      <c r="G35" s="141">
        <v>3</v>
      </c>
      <c r="H35" s="141">
        <v>3</v>
      </c>
      <c r="I35" s="141">
        <v>3</v>
      </c>
      <c r="J35" s="141">
        <v>3</v>
      </c>
      <c r="K35" s="141">
        <v>3</v>
      </c>
      <c r="L35" s="141">
        <v>3</v>
      </c>
      <c r="M35" s="141">
        <v>3</v>
      </c>
      <c r="N35" s="141">
        <v>3</v>
      </c>
      <c r="O35" s="141">
        <v>3</v>
      </c>
      <c r="P35" s="117">
        <f t="shared" si="0"/>
        <v>30</v>
      </c>
      <c r="Q35" s="168">
        <f t="shared" si="3"/>
        <v>3</v>
      </c>
      <c r="R35" s="118">
        <f t="shared" si="4"/>
        <v>100</v>
      </c>
      <c r="S35" s="404"/>
      <c r="T35" s="404"/>
      <c r="U35" s="404"/>
      <c r="V35" s="404"/>
      <c r="W35" s="404"/>
      <c r="X35" s="404"/>
      <c r="Y35" s="404"/>
      <c r="Z35" s="404"/>
    </row>
    <row r="36" spans="1:26" s="67" customFormat="1" ht="21.75" customHeight="1">
      <c r="A36" s="587" t="s">
        <v>254</v>
      </c>
      <c r="B36" s="587"/>
      <c r="C36" s="587"/>
      <c r="D36" s="587"/>
      <c r="E36" s="587"/>
      <c r="F36" s="587"/>
      <c r="G36" s="587"/>
      <c r="H36" s="587"/>
      <c r="I36" s="587"/>
      <c r="J36" s="587"/>
      <c r="K36" s="587"/>
      <c r="L36" s="587"/>
      <c r="M36" s="587"/>
      <c r="N36" s="587"/>
      <c r="O36" s="587"/>
      <c r="P36" s="587"/>
      <c r="Q36" s="587"/>
      <c r="R36" s="587"/>
      <c r="S36" s="300"/>
      <c r="T36" s="300"/>
      <c r="U36" s="300"/>
      <c r="V36" s="300"/>
      <c r="W36" s="300"/>
      <c r="X36" s="301"/>
      <c r="Y36" s="301"/>
      <c r="Z36" s="301"/>
    </row>
    <row r="37" spans="1:18" ht="12.75">
      <c r="A37" s="582" t="s">
        <v>255</v>
      </c>
      <c r="B37" s="582"/>
      <c r="C37" s="582"/>
      <c r="D37" s="582"/>
      <c r="E37" s="582"/>
      <c r="F37" s="582"/>
      <c r="G37" s="582"/>
      <c r="H37" s="582"/>
      <c r="I37" s="582"/>
      <c r="J37" s="300"/>
      <c r="K37" s="300"/>
      <c r="L37" s="300"/>
      <c r="M37" s="300"/>
      <c r="N37" s="300"/>
      <c r="O37" s="300"/>
      <c r="P37" s="300"/>
      <c r="Q37" s="300"/>
      <c r="R37" s="300"/>
    </row>
  </sheetData>
  <sheetProtection password="CF52" sheet="1"/>
  <mergeCells count="13">
    <mergeCell ref="D2:D4"/>
    <mergeCell ref="E2:E4"/>
    <mergeCell ref="A36:R36"/>
    <mergeCell ref="F2:O2"/>
    <mergeCell ref="F3:O3"/>
    <mergeCell ref="P2:P4"/>
    <mergeCell ref="A37:I37"/>
    <mergeCell ref="A1:R1"/>
    <mergeCell ref="Q2:Q4"/>
    <mergeCell ref="R2:R4"/>
    <mergeCell ref="A2:A4"/>
    <mergeCell ref="B2:B4"/>
    <mergeCell ref="C2:C4"/>
  </mergeCells>
  <printOptions horizontalCentered="1"/>
  <pageMargins left="0" right="0" top="0.5905511811023623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33.28125" style="119" customWidth="1"/>
    <col min="2" max="3" width="17.7109375" style="119" customWidth="1"/>
    <col min="4" max="4" width="18.7109375" style="16" customWidth="1"/>
    <col min="5" max="5" width="17.7109375" style="16" customWidth="1"/>
    <col min="6" max="6" width="18.7109375" style="16" customWidth="1"/>
    <col min="7" max="7" width="17.7109375" style="16" customWidth="1"/>
    <col min="8" max="9" width="9.140625" style="16" customWidth="1"/>
  </cols>
  <sheetData>
    <row r="1" spans="1:8" ht="35.25" customHeight="1" thickBot="1">
      <c r="A1" s="588" t="s">
        <v>235</v>
      </c>
      <c r="B1" s="589"/>
      <c r="C1" s="589"/>
      <c r="D1" s="589"/>
      <c r="E1" s="589"/>
      <c r="F1" s="589"/>
      <c r="G1" s="590"/>
      <c r="H1" s="187"/>
    </row>
    <row r="2" spans="1:7" ht="19.5" customHeight="1">
      <c r="A2" s="599" t="s">
        <v>225</v>
      </c>
      <c r="B2" s="595" t="s">
        <v>133</v>
      </c>
      <c r="C2" s="597" t="s">
        <v>51</v>
      </c>
      <c r="D2" s="595" t="s">
        <v>85</v>
      </c>
      <c r="E2" s="597" t="s">
        <v>51</v>
      </c>
      <c r="F2" s="601" t="s">
        <v>226</v>
      </c>
      <c r="G2" s="591" t="s">
        <v>51</v>
      </c>
    </row>
    <row r="3" spans="1:8" ht="19.5" customHeight="1">
      <c r="A3" s="600"/>
      <c r="B3" s="596"/>
      <c r="C3" s="598"/>
      <c r="D3" s="596"/>
      <c r="E3" s="598"/>
      <c r="F3" s="602"/>
      <c r="G3" s="592"/>
      <c r="H3" s="86"/>
    </row>
    <row r="4" spans="1:8" ht="24.75" customHeight="1">
      <c r="A4" s="600"/>
      <c r="B4" s="290" t="s">
        <v>227</v>
      </c>
      <c r="C4" s="598"/>
      <c r="D4" s="290" t="s">
        <v>228</v>
      </c>
      <c r="E4" s="598"/>
      <c r="F4" s="290" t="s">
        <v>229</v>
      </c>
      <c r="G4" s="592"/>
      <c r="H4" s="86"/>
    </row>
    <row r="5" spans="1:7" ht="19.5" customHeight="1">
      <c r="A5" s="600"/>
      <c r="B5" s="291" t="s">
        <v>230</v>
      </c>
      <c r="C5" s="598"/>
      <c r="D5" s="188" t="s">
        <v>169</v>
      </c>
      <c r="E5" s="598"/>
      <c r="F5" s="291" t="s">
        <v>231</v>
      </c>
      <c r="G5" s="592"/>
    </row>
    <row r="6" spans="1:7" s="67" customFormat="1" ht="21.75" customHeight="1">
      <c r="A6" s="359" t="s">
        <v>59</v>
      </c>
      <c r="B6" s="262">
        <f>Меню!H9</f>
        <v>593.4000000000001</v>
      </c>
      <c r="C6" s="262">
        <f>B6*100/2720</f>
        <v>21.81617647058824</v>
      </c>
      <c r="D6" s="262">
        <f>Меню!H45</f>
        <v>869.6800000000001</v>
      </c>
      <c r="E6" s="262">
        <f>D6*100/2720</f>
        <v>31.973529411764705</v>
      </c>
      <c r="F6" s="262">
        <f>Меню!H111</f>
        <v>1463.0800000000002</v>
      </c>
      <c r="G6" s="296">
        <f>F6*100/2713</f>
        <v>53.928492443789175</v>
      </c>
    </row>
    <row r="7" spans="1:7" s="67" customFormat="1" ht="21.75" customHeight="1">
      <c r="A7" s="359" t="s">
        <v>60</v>
      </c>
      <c r="B7" s="262">
        <f>Меню!H116</f>
        <v>627.8</v>
      </c>
      <c r="C7" s="262">
        <f aca="true" t="shared" si="0" ref="C7:C16">B7*100/2720</f>
        <v>23.080882352941174</v>
      </c>
      <c r="D7" s="262">
        <f>Меню!H165</f>
        <v>902.175</v>
      </c>
      <c r="E7" s="262">
        <f aca="true" t="shared" si="1" ref="E7:E16">D7*100/2720</f>
        <v>33.16819852941177</v>
      </c>
      <c r="F7" s="262">
        <f>Меню!H225</f>
        <v>1529.975</v>
      </c>
      <c r="G7" s="296">
        <f aca="true" t="shared" si="2" ref="G7:G15">F7*100/2713</f>
        <v>56.39421304828603</v>
      </c>
    </row>
    <row r="8" spans="1:7" s="67" customFormat="1" ht="21.75" customHeight="1">
      <c r="A8" s="359" t="s">
        <v>61</v>
      </c>
      <c r="B8" s="262">
        <f>Меню!H230</f>
        <v>625.8</v>
      </c>
      <c r="C8" s="262">
        <f t="shared" si="0"/>
        <v>23.007352941176467</v>
      </c>
      <c r="D8" s="262">
        <f>Меню!H253</f>
        <v>909.677142857143</v>
      </c>
      <c r="E8" s="262">
        <f t="shared" si="1"/>
        <v>33.444012605042026</v>
      </c>
      <c r="F8" s="262">
        <f>Меню!H309</f>
        <v>1535.477142857143</v>
      </c>
      <c r="G8" s="296">
        <f t="shared" si="2"/>
        <v>56.59701964088252</v>
      </c>
    </row>
    <row r="9" spans="1:7" s="67" customFormat="1" ht="21.75" customHeight="1">
      <c r="A9" s="359" t="s">
        <v>62</v>
      </c>
      <c r="B9" s="262">
        <f>Меню!H314</f>
        <v>583.8799999999999</v>
      </c>
      <c r="C9" s="262">
        <f t="shared" si="0"/>
        <v>21.46617647058823</v>
      </c>
      <c r="D9" s="262">
        <f>Меню!H353</f>
        <v>887.0999999999999</v>
      </c>
      <c r="E9" s="262">
        <f t="shared" si="1"/>
        <v>32.61397058823529</v>
      </c>
      <c r="F9" s="262">
        <f>Меню!H423</f>
        <v>1470.9799999999998</v>
      </c>
      <c r="G9" s="296">
        <f t="shared" si="2"/>
        <v>54.2196830077405</v>
      </c>
    </row>
    <row r="10" spans="1:7" s="67" customFormat="1" ht="21.75" customHeight="1">
      <c r="A10" s="359" t="s">
        <v>63</v>
      </c>
      <c r="B10" s="262">
        <f>Меню!H428</f>
        <v>615.7</v>
      </c>
      <c r="C10" s="262">
        <f t="shared" si="0"/>
        <v>22.63602941176471</v>
      </c>
      <c r="D10" s="262">
        <f>Меню!H455</f>
        <v>817.3</v>
      </c>
      <c r="E10" s="262">
        <f t="shared" si="1"/>
        <v>30.047794117647058</v>
      </c>
      <c r="F10" s="262">
        <f>Меню!H512</f>
        <v>1433</v>
      </c>
      <c r="G10" s="296">
        <f t="shared" si="2"/>
        <v>52.81975672687062</v>
      </c>
    </row>
    <row r="11" spans="1:7" s="67" customFormat="1" ht="21.75" customHeight="1">
      <c r="A11" s="490" t="s">
        <v>232</v>
      </c>
      <c r="B11" s="263">
        <f aca="true" t="shared" si="3" ref="B11:G11">(+B10+B9+B8+B7+B6)/5</f>
        <v>609.316</v>
      </c>
      <c r="C11" s="263">
        <f t="shared" si="3"/>
        <v>22.401323529411762</v>
      </c>
      <c r="D11" s="263">
        <f t="shared" si="3"/>
        <v>877.1864285714286</v>
      </c>
      <c r="E11" s="263">
        <f t="shared" si="3"/>
        <v>32.249501050420164</v>
      </c>
      <c r="F11" s="263">
        <f t="shared" si="3"/>
        <v>1486.5024285714285</v>
      </c>
      <c r="G11" s="360">
        <f t="shared" si="3"/>
        <v>54.79183297351377</v>
      </c>
    </row>
    <row r="12" spans="1:7" s="67" customFormat="1" ht="21.75" customHeight="1">
      <c r="A12" s="359" t="s">
        <v>64</v>
      </c>
      <c r="B12" s="262">
        <f>Меню!H520</f>
        <v>608.8</v>
      </c>
      <c r="C12" s="262">
        <f t="shared" si="0"/>
        <v>22.382352941176467</v>
      </c>
      <c r="D12" s="262">
        <f>Меню!H552</f>
        <v>843.4200000000001</v>
      </c>
      <c r="E12" s="262">
        <f t="shared" si="1"/>
        <v>31.008088235294117</v>
      </c>
      <c r="F12" s="262">
        <f>Меню!H598</f>
        <v>1452.22</v>
      </c>
      <c r="G12" s="296">
        <f t="shared" si="2"/>
        <v>53.528197567268705</v>
      </c>
    </row>
    <row r="13" spans="1:7" s="67" customFormat="1" ht="21.75" customHeight="1">
      <c r="A13" s="359" t="s">
        <v>417</v>
      </c>
      <c r="B13" s="262">
        <f>Меню!H603</f>
        <v>600.75</v>
      </c>
      <c r="C13" s="262">
        <f t="shared" si="0"/>
        <v>22.08639705882353</v>
      </c>
      <c r="D13" s="262">
        <f>Меню!H625</f>
        <v>897.8199999999999</v>
      </c>
      <c r="E13" s="262">
        <f t="shared" si="1"/>
        <v>33.00808823529412</v>
      </c>
      <c r="F13" s="262">
        <f>Меню!H676</f>
        <v>1498.57</v>
      </c>
      <c r="G13" s="296">
        <f t="shared" si="2"/>
        <v>55.23663840766679</v>
      </c>
    </row>
    <row r="14" spans="1:7" s="67" customFormat="1" ht="21.75" customHeight="1">
      <c r="A14" s="359" t="s">
        <v>66</v>
      </c>
      <c r="B14" s="262">
        <f>Меню!H681</f>
        <v>670.3</v>
      </c>
      <c r="C14" s="262">
        <f t="shared" si="0"/>
        <v>24.643382352941178</v>
      </c>
      <c r="D14" s="262">
        <f>Меню!H729</f>
        <v>913.6800000000001</v>
      </c>
      <c r="E14" s="262">
        <f t="shared" si="1"/>
        <v>33.59117647058824</v>
      </c>
      <c r="F14" s="262">
        <f>Меню!H782</f>
        <v>1583.98</v>
      </c>
      <c r="G14" s="296">
        <f t="shared" si="2"/>
        <v>58.38481385919646</v>
      </c>
    </row>
    <row r="15" spans="1:7" s="67" customFormat="1" ht="21.75" customHeight="1">
      <c r="A15" s="359" t="s">
        <v>67</v>
      </c>
      <c r="B15" s="262">
        <f>Меню!H787</f>
        <v>664.98</v>
      </c>
      <c r="C15" s="262">
        <f t="shared" si="0"/>
        <v>24.44779411764706</v>
      </c>
      <c r="D15" s="262">
        <f>Меню!H807</f>
        <v>826.8800000000001</v>
      </c>
      <c r="E15" s="262">
        <f t="shared" si="1"/>
        <v>30.400000000000006</v>
      </c>
      <c r="F15" s="262">
        <f>Меню!H883</f>
        <v>1491.8600000000001</v>
      </c>
      <c r="G15" s="296">
        <f t="shared" si="2"/>
        <v>54.98931072613343</v>
      </c>
    </row>
    <row r="16" spans="1:7" s="67" customFormat="1" ht="21.75" customHeight="1">
      <c r="A16" s="359" t="s">
        <v>68</v>
      </c>
      <c r="B16" s="262">
        <f>Меню!H888</f>
        <v>642.4000000000001</v>
      </c>
      <c r="C16" s="262">
        <f t="shared" si="0"/>
        <v>23.617647058823533</v>
      </c>
      <c r="D16" s="262">
        <f>Меню!H936</f>
        <v>883.5866666666666</v>
      </c>
      <c r="E16" s="262">
        <f t="shared" si="1"/>
        <v>32.48480392156863</v>
      </c>
      <c r="F16" s="262">
        <f>Меню!H1005</f>
        <v>1525.9866666666667</v>
      </c>
      <c r="G16" s="296">
        <f>F16*100/2713</f>
        <v>56.2472048163165</v>
      </c>
    </row>
    <row r="17" spans="1:7" s="67" customFormat="1" ht="21.75" customHeight="1">
      <c r="A17" s="490" t="s">
        <v>232</v>
      </c>
      <c r="B17" s="263">
        <f aca="true" t="shared" si="4" ref="B17:G17">(+B16+B15+B14+B13+B12)/5</f>
        <v>637.4460000000001</v>
      </c>
      <c r="C17" s="263">
        <f t="shared" si="4"/>
        <v>23.435514705882355</v>
      </c>
      <c r="D17" s="263">
        <f t="shared" si="4"/>
        <v>873.0773333333333</v>
      </c>
      <c r="E17" s="263">
        <f t="shared" si="4"/>
        <v>32.09843137254902</v>
      </c>
      <c r="F17" s="263">
        <f t="shared" si="4"/>
        <v>1510.5233333333333</v>
      </c>
      <c r="G17" s="360">
        <f t="shared" si="4"/>
        <v>55.67723307531637</v>
      </c>
    </row>
    <row r="18" spans="1:7" ht="21.75" customHeight="1" thickBot="1">
      <c r="A18" s="361" t="s">
        <v>208</v>
      </c>
      <c r="B18" s="362">
        <f aca="true" t="shared" si="5" ref="B18:G18">(B17+B11)/2</f>
        <v>623.3810000000001</v>
      </c>
      <c r="C18" s="362">
        <f t="shared" si="5"/>
        <v>22.91841911764706</v>
      </c>
      <c r="D18" s="362">
        <f t="shared" si="5"/>
        <v>875.1318809523809</v>
      </c>
      <c r="E18" s="362">
        <f t="shared" si="5"/>
        <v>32.1739662114846</v>
      </c>
      <c r="F18" s="362">
        <f t="shared" si="5"/>
        <v>1498.5128809523808</v>
      </c>
      <c r="G18" s="363">
        <f t="shared" si="5"/>
        <v>55.23453302441507</v>
      </c>
    </row>
    <row r="20" spans="1:7" ht="15" customHeight="1">
      <c r="A20" s="593" t="s">
        <v>233</v>
      </c>
      <c r="B20" s="593"/>
      <c r="C20" s="593"/>
      <c r="D20" s="593"/>
      <c r="E20" s="593"/>
      <c r="F20" s="593"/>
      <c r="G20" s="593"/>
    </row>
    <row r="21" spans="1:7" ht="19.5" customHeight="1">
      <c r="A21" s="594" t="s">
        <v>234</v>
      </c>
      <c r="B21" s="594"/>
      <c r="C21" s="594"/>
      <c r="D21" s="594"/>
      <c r="E21" s="594"/>
      <c r="F21" s="594"/>
      <c r="G21" s="594"/>
    </row>
  </sheetData>
  <sheetProtection password="CF52" sheet="1"/>
  <mergeCells count="10">
    <mergeCell ref="A1:G1"/>
    <mergeCell ref="G2:G5"/>
    <mergeCell ref="A20:G20"/>
    <mergeCell ref="A21:G21"/>
    <mergeCell ref="D2:D3"/>
    <mergeCell ref="C2:C5"/>
    <mergeCell ref="B2:B3"/>
    <mergeCell ref="A2:A5"/>
    <mergeCell ref="F2:F3"/>
    <mergeCell ref="E2:E5"/>
  </mergeCells>
  <printOptions/>
  <pageMargins left="0.3937007874015748" right="0.3937007874015748" top="0.5905511811023623" bottom="0.5905511811023623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9">
      <selection activeCell="A1" sqref="A1:R40"/>
    </sheetView>
  </sheetViews>
  <sheetFormatPr defaultColWidth="9.140625" defaultRowHeight="12.75" outlineLevelCol="1"/>
  <cols>
    <col min="1" max="1" width="2.8515625" style="364" customWidth="1"/>
    <col min="2" max="2" width="39.7109375" style="364" customWidth="1"/>
    <col min="3" max="4" width="10.421875" style="364" hidden="1" customWidth="1" outlineLevel="1"/>
    <col min="5" max="5" width="18.28125" style="364" customWidth="1" collapsed="1"/>
    <col min="6" max="15" width="5.7109375" style="364" hidden="1" customWidth="1" outlineLevel="1"/>
    <col min="16" max="16" width="8.57421875" style="364" hidden="1" customWidth="1" outlineLevel="1"/>
    <col min="17" max="17" width="17.7109375" style="364" customWidth="1" collapsed="1"/>
    <col min="18" max="18" width="13.7109375" style="179" customWidth="1"/>
  </cols>
  <sheetData>
    <row r="1" ht="15.75">
      <c r="Q1" s="215" t="s">
        <v>131</v>
      </c>
    </row>
    <row r="2" spans="17:18" ht="12.75">
      <c r="Q2" s="365"/>
      <c r="R2" s="366"/>
    </row>
    <row r="3" spans="17:18" ht="12.75">
      <c r="Q3" s="367"/>
      <c r="R3" s="368"/>
    </row>
    <row r="4" spans="17:18" ht="12.75">
      <c r="Q4" s="367"/>
      <c r="R4" s="368"/>
    </row>
    <row r="6" spans="1:18" ht="34.5" customHeight="1">
      <c r="A6" s="605" t="s">
        <v>405</v>
      </c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</row>
    <row r="7" spans="1:18" ht="15" customHeight="1">
      <c r="A7" s="603" t="s">
        <v>50</v>
      </c>
      <c r="B7" s="603" t="s">
        <v>128</v>
      </c>
      <c r="C7" s="603" t="s">
        <v>114</v>
      </c>
      <c r="D7" s="288"/>
      <c r="E7" s="603" t="s">
        <v>193</v>
      </c>
      <c r="F7" s="603" t="s">
        <v>69</v>
      </c>
      <c r="G7" s="603"/>
      <c r="H7" s="603"/>
      <c r="I7" s="603"/>
      <c r="J7" s="603"/>
      <c r="K7" s="603"/>
      <c r="L7" s="603"/>
      <c r="M7" s="603"/>
      <c r="N7" s="603"/>
      <c r="O7" s="603"/>
      <c r="P7" s="603" t="s">
        <v>129</v>
      </c>
      <c r="Q7" s="603" t="s">
        <v>475</v>
      </c>
      <c r="R7" s="603" t="s">
        <v>51</v>
      </c>
    </row>
    <row r="8" spans="1:18" ht="15" customHeight="1">
      <c r="A8" s="603"/>
      <c r="B8" s="603"/>
      <c r="C8" s="603"/>
      <c r="D8" s="288" t="s">
        <v>130</v>
      </c>
      <c r="E8" s="603"/>
      <c r="F8" s="603" t="s">
        <v>52</v>
      </c>
      <c r="G8" s="603"/>
      <c r="H8" s="603"/>
      <c r="I8" s="603"/>
      <c r="J8" s="603"/>
      <c r="K8" s="603"/>
      <c r="L8" s="603"/>
      <c r="M8" s="603"/>
      <c r="N8" s="603"/>
      <c r="O8" s="603"/>
      <c r="P8" s="603"/>
      <c r="Q8" s="603"/>
      <c r="R8" s="603"/>
    </row>
    <row r="9" spans="1:18" ht="37.5" customHeight="1">
      <c r="A9" s="603"/>
      <c r="B9" s="603"/>
      <c r="C9" s="603"/>
      <c r="D9" s="288"/>
      <c r="E9" s="603"/>
      <c r="F9" s="369">
        <v>1</v>
      </c>
      <c r="G9" s="369">
        <v>2</v>
      </c>
      <c r="H9" s="369">
        <v>3</v>
      </c>
      <c r="I9" s="369">
        <v>4</v>
      </c>
      <c r="J9" s="369">
        <v>5</v>
      </c>
      <c r="K9" s="369">
        <v>6</v>
      </c>
      <c r="L9" s="369">
        <v>7</v>
      </c>
      <c r="M9" s="369">
        <v>8</v>
      </c>
      <c r="N9" s="369">
        <v>9</v>
      </c>
      <c r="O9" s="369">
        <v>10</v>
      </c>
      <c r="P9" s="603"/>
      <c r="Q9" s="603"/>
      <c r="R9" s="603"/>
    </row>
    <row r="10" spans="1:18" s="67" customFormat="1" ht="15.75" customHeight="1">
      <c r="A10" s="281">
        <v>1</v>
      </c>
      <c r="B10" s="370" t="s">
        <v>209</v>
      </c>
      <c r="C10" s="289">
        <v>120</v>
      </c>
      <c r="D10" s="282">
        <v>50</v>
      </c>
      <c r="E10" s="289">
        <v>120</v>
      </c>
      <c r="F10" s="283">
        <f>Меню!L4</f>
        <v>60</v>
      </c>
      <c r="G10" s="283">
        <f>Меню!L125</f>
        <v>70</v>
      </c>
      <c r="H10" s="283">
        <f>Меню!L192</f>
        <v>50</v>
      </c>
      <c r="I10" s="283">
        <f>Меню!M307</f>
        <v>70</v>
      </c>
      <c r="J10" s="283">
        <f>Меню!M337</f>
        <v>80</v>
      </c>
      <c r="K10" s="283">
        <f>Меню!N464</f>
        <v>0</v>
      </c>
      <c r="L10" s="283">
        <f>Меню!P680</f>
        <v>70</v>
      </c>
      <c r="M10" s="283">
        <f>Меню!M679</f>
        <v>70</v>
      </c>
      <c r="N10" s="283">
        <f>Меню!O717</f>
        <v>70</v>
      </c>
      <c r="O10" s="283">
        <f>Меню!N751</f>
        <v>70</v>
      </c>
      <c r="P10" s="283">
        <f aca="true" t="shared" si="0" ref="P10:P39">SUM(F10:O10)</f>
        <v>610</v>
      </c>
      <c r="Q10" s="217">
        <f>накопительная!Q5</f>
        <v>67</v>
      </c>
      <c r="R10" s="216">
        <f>накопительная!R5</f>
        <v>99.70238095238095</v>
      </c>
    </row>
    <row r="11" spans="1:18" s="165" customFormat="1" ht="15.75" customHeight="1">
      <c r="A11" s="281">
        <v>2</v>
      </c>
      <c r="B11" s="370" t="s">
        <v>162</v>
      </c>
      <c r="C11" s="289">
        <v>200</v>
      </c>
      <c r="D11" s="282">
        <v>50</v>
      </c>
      <c r="E11" s="289">
        <v>200</v>
      </c>
      <c r="F11" s="283">
        <f>Меню!L5</f>
        <v>100</v>
      </c>
      <c r="G11" s="283">
        <f>Меню!L126</f>
        <v>68</v>
      </c>
      <c r="H11" s="283">
        <f>Меню!L193</f>
        <v>100</v>
      </c>
      <c r="I11" s="283">
        <f>Меню!M308</f>
        <v>115</v>
      </c>
      <c r="J11" s="283">
        <f>Меню!M338</f>
        <v>90</v>
      </c>
      <c r="K11" s="283">
        <f>Меню!N465</f>
        <v>0</v>
      </c>
      <c r="L11" s="283">
        <f>Меню!P681</f>
        <v>90</v>
      </c>
      <c r="M11" s="283">
        <f>Меню!M680</f>
        <v>111</v>
      </c>
      <c r="N11" s="283">
        <f>Меню!O718</f>
        <v>116</v>
      </c>
      <c r="O11" s="283">
        <f>Меню!N752</f>
        <v>107</v>
      </c>
      <c r="P11" s="283">
        <f t="shared" si="0"/>
        <v>897</v>
      </c>
      <c r="Q11" s="217">
        <f>накопительная!Q6</f>
        <v>97.4</v>
      </c>
      <c r="R11" s="216">
        <f>накопительная!R6</f>
        <v>100.41237113402062</v>
      </c>
    </row>
    <row r="12" spans="1:18" s="165" customFormat="1" ht="15.75" customHeight="1">
      <c r="A12" s="281">
        <v>3</v>
      </c>
      <c r="B12" s="281" t="s">
        <v>192</v>
      </c>
      <c r="C12" s="289">
        <v>20</v>
      </c>
      <c r="D12" s="282">
        <v>70</v>
      </c>
      <c r="E12" s="289">
        <v>20</v>
      </c>
      <c r="F12" s="283">
        <f>Меню!L6</f>
        <v>2.5</v>
      </c>
      <c r="G12" s="283">
        <f>Меню!L127</f>
        <v>45</v>
      </c>
      <c r="H12" s="283">
        <f>Меню!L194</f>
        <v>23.136363636363637</v>
      </c>
      <c r="I12" s="283">
        <f>Меню!M309</f>
        <v>8.3</v>
      </c>
      <c r="J12" s="283">
        <f>Меню!M339</f>
        <v>0</v>
      </c>
      <c r="K12" s="283">
        <f>Меню!N466</f>
        <v>0</v>
      </c>
      <c r="L12" s="283">
        <f>Меню!P682</f>
        <v>4</v>
      </c>
      <c r="M12" s="283">
        <f>Меню!M681</f>
        <v>0</v>
      </c>
      <c r="N12" s="283">
        <f>Меню!O719</f>
        <v>0</v>
      </c>
      <c r="O12" s="283">
        <f>Меню!N753</f>
        <v>0</v>
      </c>
      <c r="P12" s="283">
        <f t="shared" si="0"/>
        <v>82.93636363636364</v>
      </c>
      <c r="Q12" s="217">
        <f>накопительная!Q7</f>
        <v>8.593636363636364</v>
      </c>
      <c r="R12" s="216">
        <f>накопительная!R7</f>
        <v>99.92600422832982</v>
      </c>
    </row>
    <row r="13" spans="1:18" s="131" customFormat="1" ht="15.75" customHeight="1">
      <c r="A13" s="281">
        <v>4</v>
      </c>
      <c r="B13" s="370" t="s">
        <v>88</v>
      </c>
      <c r="C13" s="371">
        <v>50</v>
      </c>
      <c r="D13" s="282">
        <v>55</v>
      </c>
      <c r="E13" s="371">
        <v>50</v>
      </c>
      <c r="F13" s="283">
        <f>Меню!L7</f>
        <v>26</v>
      </c>
      <c r="G13" s="283">
        <f>Меню!L128</f>
        <v>64</v>
      </c>
      <c r="H13" s="283">
        <f>Меню!L195</f>
        <v>5</v>
      </c>
      <c r="I13" s="283">
        <f>Меню!M310</f>
        <v>45</v>
      </c>
      <c r="J13" s="283">
        <f>Меню!M340</f>
        <v>51</v>
      </c>
      <c r="K13" s="283">
        <f>Меню!N467</f>
        <v>0</v>
      </c>
      <c r="L13" s="283">
        <f>Меню!P683</f>
        <v>105</v>
      </c>
      <c r="M13" s="283">
        <f>Меню!M682</f>
        <v>16.666666666666668</v>
      </c>
      <c r="N13" s="283">
        <f>Меню!O720</f>
        <v>45</v>
      </c>
      <c r="O13" s="283">
        <f>Меню!N754</f>
        <v>12.363636363636363</v>
      </c>
      <c r="P13" s="283">
        <f t="shared" si="0"/>
        <v>370.03030303030306</v>
      </c>
      <c r="Q13" s="217">
        <f>накопительная!Q8</f>
        <v>43.50303030303031</v>
      </c>
      <c r="R13" s="216">
        <f>накопительная!R8</f>
        <v>100.00696621386278</v>
      </c>
    </row>
    <row r="14" spans="1:18" s="131" customFormat="1" ht="15.75" customHeight="1">
      <c r="A14" s="281">
        <v>5</v>
      </c>
      <c r="B14" s="370" t="s">
        <v>210</v>
      </c>
      <c r="C14" s="371">
        <v>20</v>
      </c>
      <c r="D14" s="282">
        <v>55</v>
      </c>
      <c r="E14" s="371">
        <v>20</v>
      </c>
      <c r="F14" s="283">
        <f>Меню!L8</f>
        <v>0</v>
      </c>
      <c r="G14" s="283">
        <f>Меню!L129</f>
        <v>65</v>
      </c>
      <c r="H14" s="283">
        <f>Меню!L196</f>
        <v>0</v>
      </c>
      <c r="I14" s="283">
        <f>Меню!M311</f>
        <v>0</v>
      </c>
      <c r="J14" s="283">
        <f>Меню!M341</f>
        <v>0</v>
      </c>
      <c r="K14" s="283">
        <f>Меню!N468</f>
        <v>0</v>
      </c>
      <c r="L14" s="283">
        <f>Меню!P684</f>
        <v>0</v>
      </c>
      <c r="M14" s="283">
        <f>Меню!M683</f>
        <v>65</v>
      </c>
      <c r="N14" s="283">
        <f>Меню!O721</f>
        <v>8</v>
      </c>
      <c r="O14" s="283">
        <f>Меню!N755</f>
        <v>0</v>
      </c>
      <c r="P14" s="283">
        <f t="shared" si="0"/>
        <v>138</v>
      </c>
      <c r="Q14" s="217">
        <f>накопительная!Q9</f>
        <v>13.8</v>
      </c>
      <c r="R14" s="216">
        <f>накопительная!R9</f>
        <v>100</v>
      </c>
    </row>
    <row r="15" spans="1:18" s="165" customFormat="1" ht="15.75" customHeight="1">
      <c r="A15" s="281">
        <v>6</v>
      </c>
      <c r="B15" s="281" t="s">
        <v>30</v>
      </c>
      <c r="C15" s="289">
        <v>187</v>
      </c>
      <c r="D15" s="282">
        <v>50</v>
      </c>
      <c r="E15" s="289">
        <v>187</v>
      </c>
      <c r="F15" s="283">
        <f>Меню!L9</f>
        <v>231</v>
      </c>
      <c r="G15" s="283">
        <f>Меню!L130</f>
        <v>58</v>
      </c>
      <c r="H15" s="283">
        <f>Меню!L197</f>
        <v>228</v>
      </c>
      <c r="I15" s="283">
        <f>Меню!M312</f>
        <v>42</v>
      </c>
      <c r="J15" s="283">
        <f>Меню!M342</f>
        <v>100</v>
      </c>
      <c r="K15" s="283">
        <f>Меню!N469</f>
        <v>0</v>
      </c>
      <c r="L15" s="283">
        <f>Меню!P685</f>
        <v>43.333333333333336</v>
      </c>
      <c r="M15" s="283">
        <f>Меню!M684</f>
        <v>232</v>
      </c>
      <c r="N15" s="283">
        <f>Меню!O722</f>
        <v>211</v>
      </c>
      <c r="O15" s="283">
        <f>Меню!N756</f>
        <v>193</v>
      </c>
      <c r="P15" s="283">
        <f t="shared" si="0"/>
        <v>1338.3333333333335</v>
      </c>
      <c r="Q15" s="217">
        <f>накопительная!Q10</f>
        <v>156.53333333333336</v>
      </c>
      <c r="R15" s="216">
        <f>накопительная!R10</f>
        <v>99.65198200492318</v>
      </c>
    </row>
    <row r="16" spans="1:18" s="131" customFormat="1" ht="15.75" customHeight="1">
      <c r="A16" s="281">
        <v>7</v>
      </c>
      <c r="B16" s="370" t="s">
        <v>406</v>
      </c>
      <c r="C16" s="289">
        <v>320</v>
      </c>
      <c r="D16" s="282">
        <v>60</v>
      </c>
      <c r="E16" s="289">
        <v>320</v>
      </c>
      <c r="F16" s="283">
        <f>Меню!L10</f>
        <v>146.7</v>
      </c>
      <c r="G16" s="283">
        <f>Меню!L131</f>
        <v>213</v>
      </c>
      <c r="H16" s="283">
        <f>Меню!L198</f>
        <v>124.2</v>
      </c>
      <c r="I16" s="283">
        <f>Меню!M313</f>
        <v>466.4</v>
      </c>
      <c r="J16" s="283">
        <f>Меню!M343</f>
        <v>228.2</v>
      </c>
      <c r="K16" s="283">
        <f>Меню!N470</f>
        <v>0</v>
      </c>
      <c r="L16" s="283">
        <f>Меню!P686</f>
        <v>201.83333333333331</v>
      </c>
      <c r="M16" s="283">
        <f>Меню!M685</f>
        <v>248.875</v>
      </c>
      <c r="N16" s="283">
        <f>Меню!O723</f>
        <v>126.3</v>
      </c>
      <c r="O16" s="283">
        <f>Меню!N757</f>
        <v>183</v>
      </c>
      <c r="P16" s="283">
        <f t="shared" si="0"/>
        <v>1938.5083333333332</v>
      </c>
      <c r="Q16" s="217">
        <f>накопительная!Q11</f>
        <v>213.2208333333333</v>
      </c>
      <c r="R16" s="216">
        <f>накопительная!R11</f>
        <v>100.19776002506264</v>
      </c>
    </row>
    <row r="17" spans="1:18" s="131" customFormat="1" ht="15.75" customHeight="1">
      <c r="A17" s="281">
        <v>8</v>
      </c>
      <c r="B17" s="281" t="s">
        <v>32</v>
      </c>
      <c r="C17" s="289">
        <v>185</v>
      </c>
      <c r="D17" s="282">
        <v>65</v>
      </c>
      <c r="E17" s="289">
        <v>185</v>
      </c>
      <c r="F17" s="283">
        <f>Меню!L11</f>
        <v>150</v>
      </c>
      <c r="G17" s="283">
        <f>Меню!L132</f>
        <v>0</v>
      </c>
      <c r="H17" s="283">
        <f>Меню!L199</f>
        <v>31</v>
      </c>
      <c r="I17" s="283">
        <f>Меню!M314</f>
        <v>0</v>
      </c>
      <c r="J17" s="283">
        <f>Меню!M344</f>
        <v>185</v>
      </c>
      <c r="K17" s="283">
        <f>Меню!N471</f>
        <v>0</v>
      </c>
      <c r="L17" s="283">
        <f>Меню!P687</f>
        <v>150</v>
      </c>
      <c r="M17" s="283">
        <f>Меню!M686</f>
        <v>26.4</v>
      </c>
      <c r="N17" s="283">
        <f>Меню!O724</f>
        <v>31</v>
      </c>
      <c r="O17" s="283">
        <f>Меню!N758</f>
        <v>181</v>
      </c>
      <c r="P17" s="283">
        <f t="shared" si="0"/>
        <v>754.4</v>
      </c>
      <c r="Q17" s="217">
        <f>накопительная!Q12</f>
        <v>90.44</v>
      </c>
      <c r="R17" s="216">
        <f>накопительная!R12</f>
        <v>100.1772264067346</v>
      </c>
    </row>
    <row r="18" spans="1:18" s="67" customFormat="1" ht="15.75" customHeight="1">
      <c r="A18" s="281">
        <v>9</v>
      </c>
      <c r="B18" s="281" t="s">
        <v>211</v>
      </c>
      <c r="C18" s="289">
        <v>20</v>
      </c>
      <c r="D18" s="282">
        <v>50</v>
      </c>
      <c r="E18" s="289">
        <v>20</v>
      </c>
      <c r="F18" s="283">
        <f>Меню!L12</f>
        <v>0</v>
      </c>
      <c r="G18" s="283">
        <f>Меню!L133</f>
        <v>0</v>
      </c>
      <c r="H18" s="283">
        <f>Меню!L200</f>
        <v>0</v>
      </c>
      <c r="I18" s="283">
        <f>Меню!M315</f>
        <v>25</v>
      </c>
      <c r="J18" s="283">
        <f>Меню!M345</f>
        <v>0</v>
      </c>
      <c r="K18" s="283">
        <f>Меню!N472</f>
        <v>0</v>
      </c>
      <c r="L18" s="283">
        <f>Меню!P688</f>
        <v>25</v>
      </c>
      <c r="M18" s="283">
        <f>Меню!M687</f>
        <v>0</v>
      </c>
      <c r="N18" s="283">
        <f>Меню!O725</f>
        <v>0</v>
      </c>
      <c r="O18" s="283">
        <f>Меню!N759</f>
        <v>0</v>
      </c>
      <c r="P18" s="283">
        <f t="shared" si="0"/>
        <v>50</v>
      </c>
      <c r="Q18" s="217">
        <f>накопительная!Q13</f>
        <v>5</v>
      </c>
      <c r="R18" s="216">
        <f>накопительная!R13</f>
        <v>100</v>
      </c>
    </row>
    <row r="19" spans="1:18" s="131" customFormat="1" ht="15.75" customHeight="1">
      <c r="A19" s="281">
        <v>10</v>
      </c>
      <c r="B19" s="370" t="s">
        <v>407</v>
      </c>
      <c r="C19" s="372">
        <v>35</v>
      </c>
      <c r="D19" s="282">
        <v>60</v>
      </c>
      <c r="E19" s="372">
        <v>35</v>
      </c>
      <c r="F19" s="283">
        <f>Меню!L13</f>
        <v>9</v>
      </c>
      <c r="G19" s="283">
        <f>Меню!L134</f>
        <v>24</v>
      </c>
      <c r="H19" s="283">
        <f>Меню!L201</f>
        <v>47.13636363636364</v>
      </c>
      <c r="I19" s="283">
        <f>Меню!M316</f>
        <v>29.5</v>
      </c>
      <c r="J19" s="283">
        <f>Меню!M346</f>
        <v>27</v>
      </c>
      <c r="K19" s="283">
        <f>Меню!N473</f>
        <v>0</v>
      </c>
      <c r="L19" s="283">
        <f>Меню!P689</f>
        <v>19.6</v>
      </c>
      <c r="M19" s="283">
        <f>Меню!M688</f>
        <v>28</v>
      </c>
      <c r="N19" s="283">
        <f>Меню!O726</f>
        <v>15</v>
      </c>
      <c r="O19" s="283">
        <f>Меню!N760</f>
        <v>40</v>
      </c>
      <c r="P19" s="283">
        <f t="shared" si="0"/>
        <v>239.23636363636362</v>
      </c>
      <c r="Q19" s="217">
        <f>накопительная!Q14</f>
        <v>25.12363636363636</v>
      </c>
      <c r="R19" s="216">
        <f>накопительная!R14</f>
        <v>100.39415130324221</v>
      </c>
    </row>
    <row r="20" spans="1:18" s="67" customFormat="1" ht="15.75" customHeight="1">
      <c r="A20" s="281">
        <v>11</v>
      </c>
      <c r="B20" s="281" t="s">
        <v>35</v>
      </c>
      <c r="C20" s="372">
        <v>200</v>
      </c>
      <c r="D20" s="282">
        <v>50</v>
      </c>
      <c r="E20" s="372">
        <v>200</v>
      </c>
      <c r="F20" s="283">
        <f>Меню!L14</f>
        <v>200</v>
      </c>
      <c r="G20" s="283">
        <f>Меню!L135</f>
        <v>200</v>
      </c>
      <c r="H20" s="283">
        <f>Меню!L202</f>
        <v>0</v>
      </c>
      <c r="I20" s="283">
        <f>Меню!M317</f>
        <v>0</v>
      </c>
      <c r="J20" s="283">
        <f>Меню!M347</f>
        <v>0</v>
      </c>
      <c r="K20" s="283">
        <f>Меню!N474</f>
        <v>0</v>
      </c>
      <c r="L20" s="283">
        <f>Меню!P690</f>
        <v>0</v>
      </c>
      <c r="M20" s="283">
        <f>Меню!M689</f>
        <v>0</v>
      </c>
      <c r="N20" s="283">
        <f>Меню!O727</f>
        <v>200</v>
      </c>
      <c r="O20" s="283">
        <f>Меню!N761</f>
        <v>0</v>
      </c>
      <c r="P20" s="283">
        <f t="shared" si="0"/>
        <v>600</v>
      </c>
      <c r="Q20" s="217">
        <f>накопительная!Q15</f>
        <v>80</v>
      </c>
      <c r="R20" s="216">
        <f>накопительная!R15</f>
        <v>100</v>
      </c>
    </row>
    <row r="21" spans="1:18" s="131" customFormat="1" ht="15.75" customHeight="1">
      <c r="A21" s="281">
        <v>12</v>
      </c>
      <c r="B21" s="281" t="s">
        <v>36</v>
      </c>
      <c r="C21" s="289">
        <v>15</v>
      </c>
      <c r="D21" s="282">
        <v>50</v>
      </c>
      <c r="E21" s="289">
        <v>15</v>
      </c>
      <c r="F21" s="283">
        <f>Меню!L15</f>
        <v>0</v>
      </c>
      <c r="G21" s="283">
        <f>Меню!L136</f>
        <v>0</v>
      </c>
      <c r="H21" s="283">
        <f>Меню!L203</f>
        <v>0</v>
      </c>
      <c r="I21" s="283">
        <f>Меню!M318</f>
        <v>0</v>
      </c>
      <c r="J21" s="283">
        <f>Меню!M348</f>
        <v>30</v>
      </c>
      <c r="K21" s="283">
        <f>Меню!N475</f>
        <v>0</v>
      </c>
      <c r="L21" s="283">
        <f>Меню!P691</f>
        <v>0</v>
      </c>
      <c r="M21" s="283">
        <f>Меню!M690</f>
        <v>0</v>
      </c>
      <c r="N21" s="283">
        <f>Меню!O728</f>
        <v>0</v>
      </c>
      <c r="O21" s="283">
        <f>Меню!N762</f>
        <v>0</v>
      </c>
      <c r="P21" s="283">
        <f t="shared" si="0"/>
        <v>30</v>
      </c>
      <c r="Q21" s="217">
        <f>накопительная!Q16</f>
        <v>3</v>
      </c>
      <c r="R21" s="216">
        <f>накопительная!R16</f>
        <v>100</v>
      </c>
    </row>
    <row r="22" spans="1:18" s="67" customFormat="1" ht="15.75" customHeight="1">
      <c r="A22" s="281">
        <v>13</v>
      </c>
      <c r="B22" s="281" t="s">
        <v>96</v>
      </c>
      <c r="C22" s="289">
        <v>0.3</v>
      </c>
      <c r="D22" s="282">
        <v>50</v>
      </c>
      <c r="E22" s="289">
        <v>0.3</v>
      </c>
      <c r="F22" s="283">
        <f>Меню!L16</f>
        <v>0</v>
      </c>
      <c r="G22" s="283">
        <f>Меню!L137</f>
        <v>1</v>
      </c>
      <c r="H22" s="283">
        <f>Меню!L204</f>
        <v>0</v>
      </c>
      <c r="I22" s="283">
        <f>Меню!M319</f>
        <v>0</v>
      </c>
      <c r="J22" s="283">
        <f>Меню!M349</f>
        <v>0</v>
      </c>
      <c r="K22" s="283">
        <f>Меню!N476</f>
        <v>0</v>
      </c>
      <c r="L22" s="283">
        <f>Меню!P692</f>
        <v>0</v>
      </c>
      <c r="M22" s="283">
        <f>Меню!M691</f>
        <v>0</v>
      </c>
      <c r="N22" s="283">
        <f>Меню!O729</f>
        <v>0</v>
      </c>
      <c r="O22" s="283">
        <f>Меню!N763</f>
        <v>0</v>
      </c>
      <c r="P22" s="283">
        <f t="shared" si="0"/>
        <v>1</v>
      </c>
      <c r="Q22" s="217">
        <f>накопительная!Q17</f>
        <v>0.1</v>
      </c>
      <c r="R22" s="216">
        <f>накопительная!R17</f>
        <v>99.50248756218906</v>
      </c>
    </row>
    <row r="23" spans="1:18" s="67" customFormat="1" ht="15.75" customHeight="1">
      <c r="A23" s="281">
        <v>14</v>
      </c>
      <c r="B23" s="370" t="s">
        <v>54</v>
      </c>
      <c r="C23" s="289">
        <v>1.2</v>
      </c>
      <c r="D23" s="282">
        <v>50</v>
      </c>
      <c r="E23" s="289">
        <v>1.2</v>
      </c>
      <c r="F23" s="283">
        <f>Меню!L17</f>
        <v>5</v>
      </c>
      <c r="G23" s="283">
        <f>Меню!L138</f>
        <v>0</v>
      </c>
      <c r="H23" s="283">
        <f>Меню!L205</f>
        <v>0</v>
      </c>
      <c r="I23" s="283">
        <f>Меню!M320</f>
        <v>0</v>
      </c>
      <c r="J23" s="283">
        <f>Меню!M350</f>
        <v>0</v>
      </c>
      <c r="K23" s="283">
        <f>Меню!N477</f>
        <v>0</v>
      </c>
      <c r="L23" s="283">
        <f>Меню!P693</f>
        <v>5</v>
      </c>
      <c r="M23" s="283">
        <f>Меню!M692</f>
        <v>0</v>
      </c>
      <c r="N23" s="283">
        <f>Меню!O730</f>
        <v>0</v>
      </c>
      <c r="O23" s="283">
        <f>Меню!N764</f>
        <v>0</v>
      </c>
      <c r="P23" s="285">
        <f t="shared" si="0"/>
        <v>10</v>
      </c>
      <c r="Q23" s="217">
        <f>накопительная!Q18</f>
        <v>1</v>
      </c>
      <c r="R23" s="216">
        <f>накопительная!R18</f>
        <v>99.8003992015968</v>
      </c>
    </row>
    <row r="24" spans="1:18" s="67" customFormat="1" ht="15.75" customHeight="1">
      <c r="A24" s="281">
        <v>15</v>
      </c>
      <c r="B24" s="281" t="s">
        <v>212</v>
      </c>
      <c r="C24" s="289">
        <v>2</v>
      </c>
      <c r="D24" s="282"/>
      <c r="E24" s="289">
        <v>2</v>
      </c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5"/>
      <c r="Q24" s="217">
        <f>накопительная!Q19</f>
        <v>0.8</v>
      </c>
      <c r="R24" s="216">
        <f>накопительная!R19</f>
        <v>100</v>
      </c>
    </row>
    <row r="25" spans="1:18" s="131" customFormat="1" ht="15.75" customHeight="1">
      <c r="A25" s="281">
        <v>16</v>
      </c>
      <c r="B25" s="281" t="s">
        <v>37</v>
      </c>
      <c r="C25" s="289">
        <v>2</v>
      </c>
      <c r="D25" s="282">
        <v>50</v>
      </c>
      <c r="E25" s="289">
        <v>2</v>
      </c>
      <c r="F25" s="283">
        <f>Меню!L19</f>
        <v>0</v>
      </c>
      <c r="G25" s="285">
        <f>Меню!L140</f>
        <v>2</v>
      </c>
      <c r="H25" s="285">
        <f>Меню!L207</f>
        <v>2</v>
      </c>
      <c r="I25" s="285">
        <f>Меню!M322</f>
        <v>0</v>
      </c>
      <c r="J25" s="285">
        <f>Меню!M352</f>
        <v>2</v>
      </c>
      <c r="K25" s="285">
        <f>Меню!N479</f>
        <v>0</v>
      </c>
      <c r="L25" s="285">
        <f>Меню!P695</f>
        <v>0</v>
      </c>
      <c r="M25" s="285">
        <f>Меню!M694</f>
        <v>2</v>
      </c>
      <c r="N25" s="285">
        <f>Меню!O732</f>
        <v>0</v>
      </c>
      <c r="O25" s="285">
        <f>Меню!N766</f>
        <v>2</v>
      </c>
      <c r="P25" s="283">
        <f t="shared" si="0"/>
        <v>10</v>
      </c>
      <c r="Q25" s="217">
        <f>накопительная!Q20</f>
        <v>1.2</v>
      </c>
      <c r="R25" s="216">
        <f>накопительная!R20</f>
        <v>100</v>
      </c>
    </row>
    <row r="26" spans="1:18" s="67" customFormat="1" ht="15.75" customHeight="1">
      <c r="A26" s="281">
        <v>17</v>
      </c>
      <c r="B26" s="281" t="s">
        <v>213</v>
      </c>
      <c r="C26" s="289">
        <v>78</v>
      </c>
      <c r="D26" s="282">
        <v>60</v>
      </c>
      <c r="E26" s="289">
        <v>78</v>
      </c>
      <c r="F26" s="283">
        <f>Меню!L20</f>
        <v>96</v>
      </c>
      <c r="G26" s="283">
        <f>Меню!L141</f>
        <v>74</v>
      </c>
      <c r="H26" s="283">
        <f>Меню!L208</f>
        <v>16</v>
      </c>
      <c r="I26" s="283">
        <f>Меню!M323</f>
        <v>82</v>
      </c>
      <c r="J26" s="283">
        <f>Меню!M353</f>
        <v>79</v>
      </c>
      <c r="K26" s="283">
        <f>Меню!N480</f>
        <v>0</v>
      </c>
      <c r="L26" s="283">
        <f>Меню!P696</f>
        <v>96</v>
      </c>
      <c r="M26" s="283">
        <f>Меню!M695</f>
        <v>118</v>
      </c>
      <c r="N26" s="283">
        <f>Меню!O733</f>
        <v>100</v>
      </c>
      <c r="O26" s="283">
        <f>Меню!N767</f>
        <v>0</v>
      </c>
      <c r="P26" s="283">
        <f t="shared" si="0"/>
        <v>661</v>
      </c>
      <c r="Q26" s="217">
        <f>накопительная!Q21</f>
        <v>67.8</v>
      </c>
      <c r="R26" s="216">
        <f>накопительная!R21</f>
        <v>99.91158267020336</v>
      </c>
    </row>
    <row r="27" spans="1:18" s="67" customFormat="1" ht="15.75" customHeight="1">
      <c r="A27" s="281">
        <v>18</v>
      </c>
      <c r="B27" s="281" t="s">
        <v>215</v>
      </c>
      <c r="C27" s="289">
        <v>53</v>
      </c>
      <c r="D27" s="282">
        <v>50</v>
      </c>
      <c r="E27" s="289">
        <v>53</v>
      </c>
      <c r="F27" s="283">
        <f>Меню!L21</f>
        <v>0</v>
      </c>
      <c r="G27" s="283">
        <f>Меню!L142</f>
        <v>84</v>
      </c>
      <c r="H27" s="283">
        <f>Меню!L209</f>
        <v>0</v>
      </c>
      <c r="I27" s="283">
        <f>Меню!M324</f>
        <v>145</v>
      </c>
      <c r="J27" s="283">
        <f>Меню!M354</f>
        <v>0</v>
      </c>
      <c r="K27" s="283">
        <f>Меню!N481</f>
        <v>0</v>
      </c>
      <c r="L27" s="283">
        <f>Меню!P697</f>
        <v>0</v>
      </c>
      <c r="M27" s="283">
        <f>Меню!M696</f>
        <v>0</v>
      </c>
      <c r="N27" s="283">
        <f>Меню!O734</f>
        <v>78</v>
      </c>
      <c r="O27" s="283">
        <f>Меню!N768</f>
        <v>72</v>
      </c>
      <c r="P27" s="283">
        <f t="shared" si="0"/>
        <v>379</v>
      </c>
      <c r="Q27" s="217">
        <f>накопительная!Q22</f>
        <v>37.9</v>
      </c>
      <c r="R27" s="216">
        <f>накопительная!R22</f>
        <v>100.01319435281698</v>
      </c>
    </row>
    <row r="28" spans="1:18" s="67" customFormat="1" ht="15.75" customHeight="1">
      <c r="A28" s="281">
        <v>19</v>
      </c>
      <c r="B28" s="281" t="s">
        <v>214</v>
      </c>
      <c r="C28" s="289">
        <v>40</v>
      </c>
      <c r="D28" s="282">
        <v>65</v>
      </c>
      <c r="E28" s="289">
        <v>40</v>
      </c>
      <c r="F28" s="283">
        <f>Меню!L22</f>
        <v>0</v>
      </c>
      <c r="G28" s="283">
        <f>Меню!L143</f>
        <v>0</v>
      </c>
      <c r="H28" s="283">
        <f>Меню!L210</f>
        <v>0</v>
      </c>
      <c r="I28" s="283">
        <f>Меню!M325</f>
        <v>0</v>
      </c>
      <c r="J28" s="283">
        <f>Меню!M355</f>
        <v>0</v>
      </c>
      <c r="K28" s="283">
        <f>Меню!N482</f>
        <v>0</v>
      </c>
      <c r="L28" s="283">
        <f>Меню!P698</f>
        <v>0</v>
      </c>
      <c r="M28" s="283">
        <f>Меню!M697</f>
        <v>0</v>
      </c>
      <c r="N28" s="283">
        <f>Меню!O735</f>
        <v>0</v>
      </c>
      <c r="O28" s="283">
        <f>Меню!N769</f>
        <v>0</v>
      </c>
      <c r="P28" s="283">
        <f t="shared" si="0"/>
        <v>0</v>
      </c>
      <c r="Q28" s="217">
        <f>накопительная!Q23</f>
        <v>8.3</v>
      </c>
      <c r="R28" s="216">
        <f>накопительная!R23</f>
        <v>100.24154589371983</v>
      </c>
    </row>
    <row r="29" spans="1:18" s="67" customFormat="1" ht="15.75" customHeight="1">
      <c r="A29" s="281">
        <v>20</v>
      </c>
      <c r="B29" s="370" t="s">
        <v>216</v>
      </c>
      <c r="C29" s="289">
        <v>77</v>
      </c>
      <c r="D29" s="282">
        <v>50</v>
      </c>
      <c r="E29" s="289">
        <v>77</v>
      </c>
      <c r="F29" s="283">
        <f>Меню!L23</f>
        <v>0</v>
      </c>
      <c r="G29" s="283">
        <f>Меню!L144</f>
        <v>0</v>
      </c>
      <c r="H29" s="283">
        <f>Меню!L211</f>
        <v>143</v>
      </c>
      <c r="I29" s="283">
        <f>Меню!M326</f>
        <v>30</v>
      </c>
      <c r="J29" s="283">
        <f>Меню!M356</f>
        <v>58</v>
      </c>
      <c r="K29" s="283">
        <f>Меню!N483</f>
        <v>0</v>
      </c>
      <c r="L29" s="283">
        <f>Меню!P699</f>
        <v>0</v>
      </c>
      <c r="M29" s="283">
        <f>Меню!M698</f>
        <v>148</v>
      </c>
      <c r="N29" s="283">
        <f>Меню!O736</f>
        <v>0</v>
      </c>
      <c r="O29" s="283">
        <f>Меню!N770</f>
        <v>50</v>
      </c>
      <c r="P29" s="283">
        <f t="shared" si="0"/>
        <v>429</v>
      </c>
      <c r="Q29" s="217">
        <f>накопительная!Q24</f>
        <v>59.3</v>
      </c>
      <c r="R29" s="216">
        <f>накопительная!R24</f>
        <v>100.01686625063249</v>
      </c>
    </row>
    <row r="30" spans="1:18" s="67" customFormat="1" ht="15.75" customHeight="1">
      <c r="A30" s="281">
        <v>21</v>
      </c>
      <c r="B30" s="373" t="s">
        <v>217</v>
      </c>
      <c r="C30" s="371">
        <v>350</v>
      </c>
      <c r="D30" s="282">
        <v>50</v>
      </c>
      <c r="E30" s="371">
        <v>350</v>
      </c>
      <c r="F30" s="283">
        <f>Меню!L24</f>
        <v>238</v>
      </c>
      <c r="G30" s="283">
        <f>Меню!L145</f>
        <v>17</v>
      </c>
      <c r="H30" s="283">
        <f>Меню!L212</f>
        <v>208.5</v>
      </c>
      <c r="I30" s="283">
        <f>Меню!M327</f>
        <v>70</v>
      </c>
      <c r="J30" s="283">
        <f>Меню!M357</f>
        <v>47</v>
      </c>
      <c r="K30" s="283">
        <f>Меню!N484</f>
        <v>0</v>
      </c>
      <c r="L30" s="283">
        <f>Меню!P700</f>
        <v>206</v>
      </c>
      <c r="M30" s="283">
        <f>Меню!M699</f>
        <v>18</v>
      </c>
      <c r="N30" s="283">
        <f>Меню!O737</f>
        <v>98</v>
      </c>
      <c r="O30" s="283">
        <f>Меню!N771</f>
        <v>30</v>
      </c>
      <c r="P30" s="283">
        <f t="shared" si="0"/>
        <v>932.5</v>
      </c>
      <c r="Q30" s="217">
        <f>накопительная!Q25</f>
        <v>93.37</v>
      </c>
      <c r="R30" s="216">
        <f>накопительная!R25</f>
        <v>99.91439272338148</v>
      </c>
    </row>
    <row r="31" spans="1:18" s="67" customFormat="1" ht="21.75" customHeight="1">
      <c r="A31" s="281">
        <v>22</v>
      </c>
      <c r="B31" s="373" t="s">
        <v>218</v>
      </c>
      <c r="C31" s="371">
        <v>180</v>
      </c>
      <c r="D31" s="282">
        <v>50</v>
      </c>
      <c r="E31" s="371">
        <v>180</v>
      </c>
      <c r="F31" s="283">
        <f>Меню!L25</f>
        <v>0</v>
      </c>
      <c r="G31" s="283">
        <f>Меню!L146</f>
        <v>0</v>
      </c>
      <c r="H31" s="283">
        <f>Меню!L213</f>
        <v>125</v>
      </c>
      <c r="I31" s="283">
        <f>Меню!M328</f>
        <v>0</v>
      </c>
      <c r="J31" s="283">
        <f>Меню!M358</f>
        <v>0</v>
      </c>
      <c r="K31" s="283">
        <f>Меню!N485</f>
        <v>0</v>
      </c>
      <c r="L31" s="283">
        <f>Меню!P701</f>
        <v>0</v>
      </c>
      <c r="M31" s="283">
        <f>Меню!M700</f>
        <v>0</v>
      </c>
      <c r="N31" s="283">
        <f>Меню!O738</f>
        <v>125</v>
      </c>
      <c r="O31" s="283">
        <f>Меню!N772</f>
        <v>0</v>
      </c>
      <c r="P31" s="283">
        <f t="shared" si="0"/>
        <v>250</v>
      </c>
      <c r="Q31" s="217">
        <f>накопительная!Q26</f>
        <v>25</v>
      </c>
      <c r="R31" s="216">
        <f>накопительная!R26</f>
        <v>99.92006394884093</v>
      </c>
    </row>
    <row r="32" spans="1:18" s="67" customFormat="1" ht="15.75" customHeight="1">
      <c r="A32" s="281">
        <v>23</v>
      </c>
      <c r="B32" s="370" t="s">
        <v>219</v>
      </c>
      <c r="C32" s="289">
        <v>60</v>
      </c>
      <c r="D32" s="282">
        <v>70</v>
      </c>
      <c r="E32" s="289">
        <v>60</v>
      </c>
      <c r="F32" s="283">
        <f>Меню!L26</f>
        <v>0</v>
      </c>
      <c r="G32" s="283">
        <f>Меню!L147</f>
        <v>0</v>
      </c>
      <c r="H32" s="283">
        <f>Меню!L214</f>
        <v>122.86363636363636</v>
      </c>
      <c r="I32" s="283">
        <f>Меню!M329</f>
        <v>0</v>
      </c>
      <c r="J32" s="283">
        <f>Меню!M359</f>
        <v>0</v>
      </c>
      <c r="K32" s="283">
        <f>Меню!N486</f>
        <v>0</v>
      </c>
      <c r="L32" s="283">
        <f>Меню!P702</f>
        <v>0</v>
      </c>
      <c r="M32" s="283">
        <f>Меню!M701</f>
        <v>0</v>
      </c>
      <c r="N32" s="283">
        <f>Меню!O739</f>
        <v>0</v>
      </c>
      <c r="O32" s="283">
        <f>Меню!N773</f>
        <v>159.95454545454547</v>
      </c>
      <c r="P32" s="283">
        <f t="shared" si="0"/>
        <v>282.8181818181818</v>
      </c>
      <c r="Q32" s="217">
        <f>накопительная!Q27</f>
        <v>28.28181818181818</v>
      </c>
      <c r="R32" s="216">
        <f>накопительная!R27</f>
        <v>100.29013539651837</v>
      </c>
    </row>
    <row r="33" spans="1:18" s="131" customFormat="1" ht="15.75" customHeight="1">
      <c r="A33" s="281">
        <v>24</v>
      </c>
      <c r="B33" s="370" t="s">
        <v>220</v>
      </c>
      <c r="C33" s="289">
        <v>10</v>
      </c>
      <c r="D33" s="282">
        <v>80</v>
      </c>
      <c r="E33" s="289">
        <v>10</v>
      </c>
      <c r="F33" s="283">
        <f>Меню!L27</f>
        <v>5</v>
      </c>
      <c r="G33" s="283" t="str">
        <f>Меню!L148</f>
        <v> </v>
      </c>
      <c r="H33" s="283">
        <f>Меню!L215</f>
        <v>21.227272727272727</v>
      </c>
      <c r="I33" s="283">
        <f>Меню!M330</f>
        <v>5</v>
      </c>
      <c r="J33" s="283">
        <f>Меню!M360</f>
        <v>0</v>
      </c>
      <c r="K33" s="283">
        <f>Меню!N487</f>
        <v>0</v>
      </c>
      <c r="L33" s="283">
        <f>Меню!P703</f>
        <v>17.5</v>
      </c>
      <c r="M33" s="283">
        <f>Меню!M702</f>
        <v>0</v>
      </c>
      <c r="N33" s="283">
        <f>Меню!O740</f>
        <v>0</v>
      </c>
      <c r="O33" s="283">
        <f>Меню!N774</f>
        <v>6</v>
      </c>
      <c r="P33" s="283">
        <f t="shared" si="0"/>
        <v>54.72727272727273</v>
      </c>
      <c r="Q33" s="217">
        <f>накопительная!Q28</f>
        <v>7.222727272727272</v>
      </c>
      <c r="R33" s="216">
        <f>накопительная!R28</f>
        <v>100.31565656565654</v>
      </c>
    </row>
    <row r="34" spans="1:18" s="67" customFormat="1" ht="15.75" customHeight="1">
      <c r="A34" s="281">
        <v>25</v>
      </c>
      <c r="B34" s="370" t="s">
        <v>221</v>
      </c>
      <c r="C34" s="289">
        <v>15</v>
      </c>
      <c r="D34" s="282">
        <v>50</v>
      </c>
      <c r="E34" s="289">
        <v>15</v>
      </c>
      <c r="F34" s="283">
        <f>Меню!L28</f>
        <v>20</v>
      </c>
      <c r="G34" s="283">
        <f>Меню!L149</f>
        <v>0</v>
      </c>
      <c r="H34" s="283">
        <f>Меню!L216</f>
        <v>0</v>
      </c>
      <c r="I34" s="283">
        <f>Меню!M331</f>
        <v>0</v>
      </c>
      <c r="J34" s="283">
        <f>Меню!M361</f>
        <v>0</v>
      </c>
      <c r="K34" s="283">
        <f>Меню!N488</f>
        <v>0</v>
      </c>
      <c r="L34" s="283">
        <f>Меню!P704</f>
        <v>20</v>
      </c>
      <c r="M34" s="283">
        <f>Меню!M703</f>
        <v>0</v>
      </c>
      <c r="N34" s="283">
        <f>Меню!O741</f>
        <v>0</v>
      </c>
      <c r="O34" s="283">
        <f>Меню!N775</f>
        <v>30</v>
      </c>
      <c r="P34" s="283">
        <f t="shared" si="0"/>
        <v>70</v>
      </c>
      <c r="Q34" s="217">
        <f>накопительная!Q29</f>
        <v>7</v>
      </c>
      <c r="R34" s="216">
        <f>накопительная!R29</f>
        <v>100.3584229390681</v>
      </c>
    </row>
    <row r="35" spans="1:18" s="131" customFormat="1" ht="15.75" customHeight="1">
      <c r="A35" s="281">
        <v>26</v>
      </c>
      <c r="B35" s="373" t="s">
        <v>46</v>
      </c>
      <c r="C35" s="289">
        <v>35</v>
      </c>
      <c r="D35" s="282">
        <v>50</v>
      </c>
      <c r="E35" s="289">
        <v>35</v>
      </c>
      <c r="F35" s="283">
        <f>Меню!L29</f>
        <v>21</v>
      </c>
      <c r="G35" s="283">
        <f>Меню!L150</f>
        <v>21</v>
      </c>
      <c r="H35" s="283">
        <f>Меню!L217</f>
        <v>30.636363636363637</v>
      </c>
      <c r="I35" s="283">
        <f>Меню!M332</f>
        <v>23.3</v>
      </c>
      <c r="J35" s="283">
        <f>Меню!M362</f>
        <v>10</v>
      </c>
      <c r="K35" s="283">
        <f>Меню!N489</f>
        <v>0</v>
      </c>
      <c r="L35" s="283">
        <f>Меню!P705</f>
        <v>15</v>
      </c>
      <c r="M35" s="283">
        <f>Меню!M704</f>
        <v>27</v>
      </c>
      <c r="N35" s="283">
        <f>Меню!O742</f>
        <v>27</v>
      </c>
      <c r="O35" s="283">
        <f>Меню!N776</f>
        <v>9.636363636363637</v>
      </c>
      <c r="P35" s="283">
        <f t="shared" si="0"/>
        <v>184.57272727272726</v>
      </c>
      <c r="Q35" s="217">
        <f>накопительная!Q30</f>
        <v>22.457272727272727</v>
      </c>
      <c r="R35" s="216">
        <f>накопительная!R30</f>
        <v>100.25568181818181</v>
      </c>
    </row>
    <row r="36" spans="1:18" s="67" customFormat="1" ht="15.75" customHeight="1">
      <c r="A36" s="281">
        <v>27</v>
      </c>
      <c r="B36" s="281" t="s">
        <v>47</v>
      </c>
      <c r="C36" s="289">
        <v>18</v>
      </c>
      <c r="D36" s="282">
        <v>55</v>
      </c>
      <c r="E36" s="289">
        <v>18</v>
      </c>
      <c r="F36" s="283">
        <f>Меню!L30</f>
        <v>9.5</v>
      </c>
      <c r="G36" s="283">
        <f>Меню!L151</f>
        <v>17.2</v>
      </c>
      <c r="H36" s="283">
        <f>Меню!L218</f>
        <v>11</v>
      </c>
      <c r="I36" s="283">
        <f>Меню!M333</f>
        <v>12</v>
      </c>
      <c r="J36" s="283">
        <f>Меню!M363</f>
        <v>15</v>
      </c>
      <c r="K36" s="283">
        <f>Меню!N490</f>
        <v>0</v>
      </c>
      <c r="L36" s="283">
        <f>Меню!P706</f>
        <v>5</v>
      </c>
      <c r="M36" s="283">
        <f>Меню!M705</f>
        <v>14.2</v>
      </c>
      <c r="N36" s="283">
        <f>Меню!O743</f>
        <v>10</v>
      </c>
      <c r="O36" s="283">
        <f>Меню!N777</f>
        <v>13</v>
      </c>
      <c r="P36" s="283">
        <f t="shared" si="0"/>
        <v>106.9</v>
      </c>
      <c r="Q36" s="217">
        <f>накопительная!Q31</f>
        <v>11.99</v>
      </c>
      <c r="R36" s="216">
        <f>накопительная!R31</f>
        <v>100.16708437761069</v>
      </c>
    </row>
    <row r="37" spans="1:18" s="132" customFormat="1" ht="15.75" customHeight="1">
      <c r="A37" s="281">
        <v>28</v>
      </c>
      <c r="B37" s="281" t="s">
        <v>222</v>
      </c>
      <c r="C37" s="289">
        <v>40</v>
      </c>
      <c r="D37" s="282">
        <v>55</v>
      </c>
      <c r="E37" s="289">
        <v>40</v>
      </c>
      <c r="F37" s="283">
        <f>Меню!L31</f>
        <v>1.2</v>
      </c>
      <c r="G37" s="283">
        <f>Меню!L152</f>
        <v>22.5</v>
      </c>
      <c r="H37" s="283">
        <f>Меню!L219</f>
        <v>8.5</v>
      </c>
      <c r="I37" s="283">
        <f>Меню!M334</f>
        <v>0</v>
      </c>
      <c r="J37" s="283">
        <f>Меню!M364</f>
        <v>127.5</v>
      </c>
      <c r="K37" s="283">
        <f>Меню!N491</f>
        <v>0</v>
      </c>
      <c r="L37" s="283">
        <f>Меню!P707</f>
        <v>1.2</v>
      </c>
      <c r="M37" s="283">
        <f>Меню!M706</f>
        <v>0</v>
      </c>
      <c r="N37" s="283">
        <f>Меню!O744</f>
        <v>15.2</v>
      </c>
      <c r="O37" s="283">
        <f>Меню!N778</f>
        <v>6</v>
      </c>
      <c r="P37" s="283">
        <f t="shared" si="0"/>
        <v>182.09999999999997</v>
      </c>
      <c r="Q37" s="217">
        <f>накопительная!Q32</f>
        <v>20.829999999999995</v>
      </c>
      <c r="R37" s="216">
        <f>накопительная!R32</f>
        <v>100.14423076923075</v>
      </c>
    </row>
    <row r="38" spans="1:18" s="132" customFormat="1" ht="15.75" customHeight="1">
      <c r="A38" s="281">
        <v>29</v>
      </c>
      <c r="B38" s="281" t="s">
        <v>223</v>
      </c>
      <c r="C38" s="289">
        <v>2</v>
      </c>
      <c r="D38" s="282"/>
      <c r="E38" s="289">
        <v>2</v>
      </c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17">
        <f>накопительная!Q34</f>
        <v>1.1999999999999997</v>
      </c>
      <c r="R38" s="216">
        <f>накопительная!R34</f>
        <v>99.99999999999999</v>
      </c>
    </row>
    <row r="39" spans="1:18" s="67" customFormat="1" ht="15.75" customHeight="1">
      <c r="A39" s="281">
        <v>30</v>
      </c>
      <c r="B39" s="281" t="s">
        <v>224</v>
      </c>
      <c r="C39" s="289">
        <v>5</v>
      </c>
      <c r="D39" s="282">
        <v>50</v>
      </c>
      <c r="E39" s="289">
        <v>5</v>
      </c>
      <c r="F39" s="285">
        <v>3.5</v>
      </c>
      <c r="G39" s="285">
        <v>3.5</v>
      </c>
      <c r="H39" s="285">
        <v>3.5</v>
      </c>
      <c r="I39" s="285">
        <v>3.5</v>
      </c>
      <c r="J39" s="285">
        <v>3.5</v>
      </c>
      <c r="K39" s="285">
        <v>3.5</v>
      </c>
      <c r="L39" s="285">
        <v>3.5</v>
      </c>
      <c r="M39" s="285">
        <v>3.5</v>
      </c>
      <c r="N39" s="285">
        <v>3.5</v>
      </c>
      <c r="O39" s="285">
        <v>3.5</v>
      </c>
      <c r="P39" s="283">
        <f t="shared" si="0"/>
        <v>35</v>
      </c>
      <c r="Q39" s="217">
        <f>накопительная!Q35</f>
        <v>3</v>
      </c>
      <c r="R39" s="216">
        <f>накопительная!R35</f>
        <v>100</v>
      </c>
    </row>
    <row r="40" spans="1:18" ht="80.25" customHeight="1">
      <c r="A40" s="604" t="s">
        <v>256</v>
      </c>
      <c r="B40" s="604"/>
      <c r="C40" s="604"/>
      <c r="D40" s="604"/>
      <c r="E40" s="604"/>
      <c r="F40" s="604"/>
      <c r="G40" s="604"/>
      <c r="H40" s="604"/>
      <c r="I40" s="604"/>
      <c r="J40" s="604"/>
      <c r="K40" s="604"/>
      <c r="L40" s="604"/>
      <c r="M40" s="604"/>
      <c r="N40" s="604"/>
      <c r="O40" s="604"/>
      <c r="P40" s="604"/>
      <c r="Q40" s="604"/>
      <c r="R40" s="604"/>
    </row>
    <row r="41" spans="6:17" ht="12.75"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</row>
  </sheetData>
  <sheetProtection password="CF52" sheet="1"/>
  <mergeCells count="11">
    <mergeCell ref="F7:O7"/>
    <mergeCell ref="P7:P9"/>
    <mergeCell ref="Q7:Q9"/>
    <mergeCell ref="R7:R9"/>
    <mergeCell ref="F8:O8"/>
    <mergeCell ref="A40:R40"/>
    <mergeCell ref="A6:R6"/>
    <mergeCell ref="A7:A9"/>
    <mergeCell ref="B7:B9"/>
    <mergeCell ref="C7:C9"/>
    <mergeCell ref="E7:E9"/>
  </mergeCells>
  <printOptions/>
  <pageMargins left="0.5905511811023623" right="0.5905511811023623" top="0.5511811023622047" bottom="0.551181102362204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13"/>
  <sheetViews>
    <sheetView zoomScalePageLayoutView="0" workbookViewId="0" topLeftCell="A1">
      <selection activeCell="A1" sqref="A1:D24"/>
    </sheetView>
  </sheetViews>
  <sheetFormatPr defaultColWidth="9.140625" defaultRowHeight="12.75"/>
  <cols>
    <col min="1" max="1" width="3.00390625" style="0" customWidth="1"/>
    <col min="2" max="4" width="40.7109375" style="0" customWidth="1"/>
  </cols>
  <sheetData>
    <row r="1" spans="2:4" ht="38.25" customHeight="1" thickBot="1">
      <c r="B1" s="606" t="s">
        <v>236</v>
      </c>
      <c r="C1" s="606"/>
      <c r="D1" s="606"/>
    </row>
    <row r="2" spans="2:4" ht="30" customHeight="1">
      <c r="B2" s="607" t="s">
        <v>237</v>
      </c>
      <c r="C2" s="292" t="s">
        <v>238</v>
      </c>
      <c r="D2" s="293" t="s">
        <v>239</v>
      </c>
    </row>
    <row r="3" spans="2:4" ht="30" customHeight="1">
      <c r="B3" s="608"/>
      <c r="C3" s="287" t="s">
        <v>240</v>
      </c>
      <c r="D3" s="294" t="s">
        <v>241</v>
      </c>
    </row>
    <row r="4" spans="2:4" ht="24.75" customHeight="1">
      <c r="B4" s="295" t="s">
        <v>59</v>
      </c>
      <c r="C4" s="262">
        <f>Меню!D9</f>
        <v>605</v>
      </c>
      <c r="D4" s="296">
        <f>Меню!D45</f>
        <v>850</v>
      </c>
    </row>
    <row r="5" spans="2:4" ht="24.75" customHeight="1">
      <c r="B5" s="295" t="s">
        <v>60</v>
      </c>
      <c r="C5" s="262">
        <f>Меню!D116</f>
        <v>550</v>
      </c>
      <c r="D5" s="296">
        <f>Меню!D165</f>
        <v>845</v>
      </c>
    </row>
    <row r="6" spans="2:4" ht="24.75" customHeight="1">
      <c r="B6" s="295" t="s">
        <v>61</v>
      </c>
      <c r="C6" s="262">
        <f>Меню!D230</f>
        <v>572</v>
      </c>
      <c r="D6" s="296">
        <f>Меню!D253</f>
        <v>870</v>
      </c>
    </row>
    <row r="7" spans="2:4" ht="24.75" customHeight="1">
      <c r="B7" s="295" t="s">
        <v>62</v>
      </c>
      <c r="C7" s="262">
        <f>Меню!D314</f>
        <v>590</v>
      </c>
      <c r="D7" s="296">
        <f>Меню!D353</f>
        <v>855</v>
      </c>
    </row>
    <row r="8" spans="2:4" ht="24.75" customHeight="1">
      <c r="B8" s="295" t="s">
        <v>63</v>
      </c>
      <c r="C8" s="262">
        <f>Меню!D428</f>
        <v>620</v>
      </c>
      <c r="D8" s="296">
        <f>Меню!D455</f>
        <v>800</v>
      </c>
    </row>
    <row r="9" spans="2:4" ht="24.75" customHeight="1">
      <c r="B9" s="295" t="s">
        <v>64</v>
      </c>
      <c r="C9" s="262">
        <f>Меню!D520</f>
        <v>610</v>
      </c>
      <c r="D9" s="296">
        <f>Меню!D552</f>
        <v>850</v>
      </c>
    </row>
    <row r="10" spans="2:4" ht="24.75" customHeight="1">
      <c r="B10" s="295" t="s">
        <v>65</v>
      </c>
      <c r="C10" s="262">
        <f>Меню!D603</f>
        <v>550</v>
      </c>
      <c r="D10" s="296">
        <f>Меню!D625</f>
        <v>930</v>
      </c>
    </row>
    <row r="11" spans="2:4" ht="24.75" customHeight="1">
      <c r="B11" s="295" t="s">
        <v>66</v>
      </c>
      <c r="C11" s="262">
        <f>Меню!D681</f>
        <v>645</v>
      </c>
      <c r="D11" s="296">
        <f>Меню!D729</f>
        <v>840</v>
      </c>
    </row>
    <row r="12" spans="2:4" ht="24.75" customHeight="1">
      <c r="B12" s="295" t="s">
        <v>67</v>
      </c>
      <c r="C12" s="262">
        <f>Меню!D787</f>
        <v>617</v>
      </c>
      <c r="D12" s="296">
        <f>Меню!D807</f>
        <v>800</v>
      </c>
    </row>
    <row r="13" spans="2:4" ht="24.75" customHeight="1" thickBot="1">
      <c r="B13" s="297" t="s">
        <v>68</v>
      </c>
      <c r="C13" s="298">
        <f>Меню!D888</f>
        <v>695</v>
      </c>
      <c r="D13" s="299">
        <f>Меню!D936</f>
        <v>850</v>
      </c>
    </row>
  </sheetData>
  <sheetProtection password="CF52" sheet="1"/>
  <mergeCells count="2">
    <mergeCell ref="B1:D1"/>
    <mergeCell ref="B2:B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I16"/>
  <sheetViews>
    <sheetView tabSelected="1" zoomScalePageLayoutView="0" workbookViewId="0" topLeftCell="A1">
      <selection activeCell="G28" sqref="G28"/>
    </sheetView>
  </sheetViews>
  <sheetFormatPr defaultColWidth="9.140625" defaultRowHeight="12.75"/>
  <cols>
    <col min="1" max="7" width="9.140625" style="13" customWidth="1"/>
    <col min="8" max="8" width="18.421875" style="13" customWidth="1"/>
    <col min="9" max="9" width="9.140625" style="13" customWidth="1"/>
  </cols>
  <sheetData>
    <row r="7" spans="1:9" ht="15">
      <c r="A7" s="510" t="s">
        <v>246</v>
      </c>
      <c r="B7" s="511"/>
      <c r="C7" s="511"/>
      <c r="D7" s="511"/>
      <c r="E7" s="153">
        <f>Меню!E513</f>
        <v>51.998000000000005</v>
      </c>
      <c r="F7" s="153">
        <f>Меню!F513</f>
        <v>51.16300000000001</v>
      </c>
      <c r="G7" s="153">
        <f>Меню!G513</f>
        <v>205.00685714285714</v>
      </c>
      <c r="H7" s="153">
        <f>Меню!H513</f>
        <v>1486.5024285714285</v>
      </c>
      <c r="I7" s="609" t="s">
        <v>247</v>
      </c>
    </row>
    <row r="8" spans="1:9" ht="15">
      <c r="A8" s="512" t="s">
        <v>248</v>
      </c>
      <c r="B8" s="511"/>
      <c r="C8" s="511"/>
      <c r="D8" s="511"/>
      <c r="E8" s="374" t="s">
        <v>249</v>
      </c>
      <c r="F8" s="374" t="s">
        <v>250</v>
      </c>
      <c r="G8" s="374" t="s">
        <v>251</v>
      </c>
      <c r="H8" s="374" t="s">
        <v>252</v>
      </c>
      <c r="I8" s="610"/>
    </row>
    <row r="9" spans="1:9" ht="15">
      <c r="A9" s="510" t="s">
        <v>253</v>
      </c>
      <c r="B9" s="511"/>
      <c r="C9" s="511"/>
      <c r="D9" s="511"/>
      <c r="E9" s="153">
        <v>90</v>
      </c>
      <c r="F9" s="153">
        <v>92</v>
      </c>
      <c r="G9" s="153">
        <v>383</v>
      </c>
      <c r="H9" s="153">
        <v>2720</v>
      </c>
      <c r="I9" s="611"/>
    </row>
    <row r="14" spans="1:9" ht="15">
      <c r="A14" s="510" t="s">
        <v>246</v>
      </c>
      <c r="B14" s="511"/>
      <c r="C14" s="511"/>
      <c r="D14" s="511"/>
      <c r="E14" s="153">
        <f>Меню!E1006</f>
        <v>52.99466666666666</v>
      </c>
      <c r="F14" s="153">
        <f>Меню!F1006</f>
        <v>53.028666666666666</v>
      </c>
      <c r="G14" s="153">
        <f>Меню!G1006</f>
        <v>206.154</v>
      </c>
      <c r="H14" s="153">
        <f>Меню!H1006</f>
        <v>1510.5233333333333</v>
      </c>
      <c r="I14" s="609" t="s">
        <v>247</v>
      </c>
    </row>
    <row r="15" spans="1:9" ht="15">
      <c r="A15" s="512" t="s">
        <v>248</v>
      </c>
      <c r="B15" s="511"/>
      <c r="C15" s="511"/>
      <c r="D15" s="511"/>
      <c r="E15" s="374" t="s">
        <v>249</v>
      </c>
      <c r="F15" s="374" t="s">
        <v>250</v>
      </c>
      <c r="G15" s="374" t="s">
        <v>251</v>
      </c>
      <c r="H15" s="374" t="s">
        <v>252</v>
      </c>
      <c r="I15" s="610"/>
    </row>
    <row r="16" spans="1:9" ht="15">
      <c r="A16" s="510" t="s">
        <v>253</v>
      </c>
      <c r="B16" s="511"/>
      <c r="C16" s="511"/>
      <c r="D16" s="511"/>
      <c r="E16" s="153">
        <v>90</v>
      </c>
      <c r="F16" s="153">
        <v>92</v>
      </c>
      <c r="G16" s="153">
        <v>383</v>
      </c>
      <c r="H16" s="153">
        <v>2720</v>
      </c>
      <c r="I16" s="611"/>
    </row>
  </sheetData>
  <sheetProtection password="CF52" sheet="1"/>
  <mergeCells count="8">
    <mergeCell ref="A7:D7"/>
    <mergeCell ref="I7:I9"/>
    <mergeCell ref="A8:D8"/>
    <mergeCell ref="A9:D9"/>
    <mergeCell ref="A14:D14"/>
    <mergeCell ref="I14:I16"/>
    <mergeCell ref="A15:D15"/>
    <mergeCell ref="A16:D16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2021-12-29T07:45:29Z</cp:lastPrinted>
  <dcterms:created xsi:type="dcterms:W3CDTF">1996-10-08T23:32:33Z</dcterms:created>
  <dcterms:modified xsi:type="dcterms:W3CDTF">2021-12-29T07:45:34Z</dcterms:modified>
  <cp:category/>
  <cp:version/>
  <cp:contentType/>
  <cp:contentStatus/>
</cp:coreProperties>
</file>