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1800" windowWidth="9720" windowHeight="5910" activeTab="6"/>
  </bookViews>
  <sheets>
    <sheet name="Меню" sheetId="1" r:id="rId1"/>
    <sheet name="накопительная" sheetId="2" r:id="rId2"/>
    <sheet name="Ценность " sheetId="3" r:id="rId3"/>
    <sheet name="объемы блюд" sheetId="4" r:id="rId4"/>
    <sheet name="рацион питания" sheetId="5" r:id="rId5"/>
    <sheet name="проверка" sheetId="6" r:id="rId6"/>
    <sheet name="сетка" sheetId="7" r:id="rId7"/>
  </sheets>
  <definedNames>
    <definedName name="_xlnm._FilterDatabase" localSheetId="0" hidden="1">'Меню'!$A$1:$A$1052</definedName>
  </definedNames>
  <calcPr fullCalcOnLoad="1"/>
</workbook>
</file>

<file path=xl/sharedStrings.xml><?xml version="1.0" encoding="utf-8"?>
<sst xmlns="http://schemas.openxmlformats.org/spreadsheetml/2006/main" count="1764" uniqueCount="488">
  <si>
    <t>Наименование блюда</t>
  </si>
  <si>
    <t>Белки, г</t>
  </si>
  <si>
    <t>Жиры, г</t>
  </si>
  <si>
    <t>ЭЦ, ккал</t>
  </si>
  <si>
    <t>сахар</t>
  </si>
  <si>
    <t>Химический состав</t>
  </si>
  <si>
    <t>Брутто, г</t>
  </si>
  <si>
    <t>Нетто, г</t>
  </si>
  <si>
    <t>Выход, г</t>
  </si>
  <si>
    <t>Угл. г</t>
  </si>
  <si>
    <t>хлеб пшеничный</t>
  </si>
  <si>
    <t>масло растительное</t>
  </si>
  <si>
    <t>картофель - 01.09.-31.10.- 25%</t>
  </si>
  <si>
    <t>01.11.-31.12. -30%</t>
  </si>
  <si>
    <t>01.01-29.02 - 35%</t>
  </si>
  <si>
    <t>01.03 - 40%</t>
  </si>
  <si>
    <t>с 01.01 - 25%</t>
  </si>
  <si>
    <t>свекла до 01.01 -20%</t>
  </si>
  <si>
    <t>лук репчатый</t>
  </si>
  <si>
    <t>масло сливочное</t>
  </si>
  <si>
    <t>Хлеб пшеничный</t>
  </si>
  <si>
    <t>мука пшеничная</t>
  </si>
  <si>
    <t>сухари</t>
  </si>
  <si>
    <t>крупа рисовая</t>
  </si>
  <si>
    <t>ИТОГО:</t>
  </si>
  <si>
    <t>творог</t>
  </si>
  <si>
    <t>Хлеб ржаной</t>
  </si>
  <si>
    <t>Картофель</t>
  </si>
  <si>
    <t>Фрукты свежие</t>
  </si>
  <si>
    <t>Кондитерские изделия</t>
  </si>
  <si>
    <t>Чай</t>
  </si>
  <si>
    <t>Сметана</t>
  </si>
  <si>
    <t>Масло сливочное</t>
  </si>
  <si>
    <t>Масло растительное</t>
  </si>
  <si>
    <t>№</t>
  </si>
  <si>
    <t>% выполнения</t>
  </si>
  <si>
    <t>Дни</t>
  </si>
  <si>
    <t>масло сливочное на полив</t>
  </si>
  <si>
    <t>или молоко концентрированное</t>
  </si>
  <si>
    <t>или молоко сухое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</si>
  <si>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</si>
  <si>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</si>
  <si>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</si>
  <si>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</si>
  <si>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</si>
  <si>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</si>
  <si>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</si>
  <si>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</si>
  <si>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</si>
  <si>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</si>
  <si>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горошек зеленый консервированный (после термической обработки)</t>
  </si>
  <si>
    <t>Фактически получено, г</t>
  </si>
  <si>
    <t>молоко питьевое</t>
  </si>
  <si>
    <t>соль йодированная</t>
  </si>
  <si>
    <t>томатное пюре (без искусственных ароматизаторов, красителей и консервантов)</t>
  </si>
  <si>
    <t>капуста белокочанная свежая</t>
  </si>
  <si>
    <t>сметана</t>
  </si>
  <si>
    <t>ОБЕД</t>
  </si>
  <si>
    <t>крупа манная</t>
  </si>
  <si>
    <t>горох лущёный</t>
  </si>
  <si>
    <t>морковь до 01.01.-20%</t>
  </si>
  <si>
    <t>или мука пшеничная</t>
  </si>
  <si>
    <t>вода питьевая</t>
  </si>
  <si>
    <t>Обед</t>
  </si>
  <si>
    <t>250/10</t>
  </si>
  <si>
    <t>Макаронные изделия</t>
  </si>
  <si>
    <t>Крупы, бобовые</t>
  </si>
  <si>
    <t>250/20/10</t>
  </si>
  <si>
    <t xml:space="preserve"> 1 день</t>
  </si>
  <si>
    <t>ИЛИ</t>
  </si>
  <si>
    <t>Дрожжи хлебопекарные</t>
  </si>
  <si>
    <t>итого в среднем за день</t>
  </si>
  <si>
    <t>зелень сушеная (петрушка, укроп)</t>
  </si>
  <si>
    <t>курага</t>
  </si>
  <si>
    <t>или хлеб витаминизированный</t>
  </si>
  <si>
    <t>или помидоры свежие парниковые</t>
  </si>
  <si>
    <t>вода  кипяченая для концентрированного молока</t>
  </si>
  <si>
    <t>вода  кипяченая для сухого молока</t>
  </si>
  <si>
    <t>крупа гречневая</t>
  </si>
  <si>
    <t>ИТОГО</t>
  </si>
  <si>
    <t>Молоко</t>
  </si>
  <si>
    <t>молоко сгущенное с сахаром</t>
  </si>
  <si>
    <t>Факт в день, г</t>
  </si>
  <si>
    <t>минтай потрошенный обезглавленный (филе с кожей без костей)</t>
  </si>
  <si>
    <t>яйцо куриное</t>
  </si>
  <si>
    <t>или ряпушка неразделанная</t>
  </si>
  <si>
    <t>говядина 1 категории</t>
  </si>
  <si>
    <t>или говядина полуфабрикат</t>
  </si>
  <si>
    <t>Количество продуктов в г, мл, нетто*</t>
  </si>
  <si>
    <t>масса готовой запеканки</t>
  </si>
  <si>
    <t>масса тушеного филе</t>
  </si>
  <si>
    <t>печень говяжья</t>
  </si>
  <si>
    <t>% процент</t>
  </si>
  <si>
    <t>Суточная потребность СанПиН 2.4.5.2409-08 (2350 ккал)</t>
  </si>
  <si>
    <t>Фрукты в ассортименте</t>
  </si>
  <si>
    <t>или лапша промышленного производства</t>
  </si>
  <si>
    <t>сыр</t>
  </si>
  <si>
    <t>масса тушенного мяса</t>
  </si>
  <si>
    <t>помидоры свежие парниковые</t>
  </si>
  <si>
    <t>или помидоры свежие  грунтовые</t>
  </si>
  <si>
    <t>масло сливочное для смазки листа</t>
  </si>
  <si>
    <t>УТВЕРЖДЕНО:</t>
  </si>
  <si>
    <t>Наименование продуктов</t>
  </si>
  <si>
    <t>Норма продуктов в день на 1 ребенка в г, мл (нетто) при двухразовом питании (обед, полдник) в течении 10 дней</t>
  </si>
  <si>
    <t>УТВЕРЖДАЮ:</t>
  </si>
  <si>
    <t>ЗАВТРАК</t>
  </si>
  <si>
    <t>Завтрак</t>
  </si>
  <si>
    <t>кофейный напиток</t>
  </si>
  <si>
    <t>огурцы консервированные без уксуса</t>
  </si>
  <si>
    <t>курица потрошеная 1 категории охлажденная (разделка на мякоть без кожи)</t>
  </si>
  <si>
    <t>чай-заварка</t>
  </si>
  <si>
    <t>или помидоры консервированные без уксуса</t>
  </si>
  <si>
    <t>или огурцы свежие парниковые</t>
  </si>
  <si>
    <t>масса готового омлета</t>
  </si>
  <si>
    <t>или кукуруза консервированная (после термической обработки)</t>
  </si>
  <si>
    <t>вишня</t>
  </si>
  <si>
    <t>чеснок свежий</t>
  </si>
  <si>
    <t>20/20</t>
  </si>
  <si>
    <t xml:space="preserve">сыр </t>
  </si>
  <si>
    <t xml:space="preserve">масло растительное  </t>
  </si>
  <si>
    <t>крупа (перловая, или рисовая)</t>
  </si>
  <si>
    <t>сухофрукты</t>
  </si>
  <si>
    <t>курица потрошеная 1 категории охлажденная</t>
  </si>
  <si>
    <t>или грудка куриная  охлажденная (разделка на мякоть без кожи)</t>
  </si>
  <si>
    <t>или филе куриное охлажденное промышленного производства</t>
  </si>
  <si>
    <t xml:space="preserve">или филе куриное охлажденное промышленного производства </t>
  </si>
  <si>
    <t xml:space="preserve">Хлеб пшеничный </t>
  </si>
  <si>
    <t>сельдь слабого посола (пресервы)</t>
  </si>
  <si>
    <t>батон</t>
  </si>
  <si>
    <t>250/5/15</t>
  </si>
  <si>
    <t>250/15</t>
  </si>
  <si>
    <t>20-25%</t>
  </si>
  <si>
    <t>470-588</t>
  </si>
  <si>
    <t>30-35%</t>
  </si>
  <si>
    <t>705-823</t>
  </si>
  <si>
    <t>лимон</t>
  </si>
  <si>
    <t>200/7</t>
  </si>
  <si>
    <t>мука пшеничная на подпыл</t>
  </si>
  <si>
    <t>ванилин</t>
  </si>
  <si>
    <t>апельсины</t>
  </si>
  <si>
    <t>фрикадельки</t>
  </si>
  <si>
    <t>250/35</t>
  </si>
  <si>
    <t xml:space="preserve">горошек зеленый консервированный </t>
  </si>
  <si>
    <t>или горбуша или кета потрошенная с головой (филе с кожей без костей)</t>
  </si>
  <si>
    <t>или горбуша или кета неразделанная (филе с кожей без костей)</t>
  </si>
  <si>
    <t>или горбуша или кета неразделанная (филе без кожи и костей)</t>
  </si>
  <si>
    <t>отвар картофельный</t>
  </si>
  <si>
    <t>масса припущенного с маслом лука</t>
  </si>
  <si>
    <t>крупа пшено</t>
  </si>
  <si>
    <t>вода кипяченая для  восстановления молока концентрированного</t>
  </si>
  <si>
    <t>вода кипяченая для  восстановления молока сухого</t>
  </si>
  <si>
    <t xml:space="preserve">или грудка куриная  охлажденная </t>
  </si>
  <si>
    <t>250/10/5</t>
  </si>
  <si>
    <t>50-60%</t>
  </si>
  <si>
    <t>Количество продуктов в г, мл, нетто при двухразовом питании (завтрак, обед)</t>
  </si>
  <si>
    <t xml:space="preserve">Мука пшеничная </t>
  </si>
  <si>
    <t>Норма продуктов в день на 1 ребенка в г, мл (нетто) при двухразовом питании (завтрак, обед)*</t>
  </si>
  <si>
    <t>Количество продуктов в день на 1 ребенка в г, мл (нетто) при двухразовом питании (завтрак, обед) в течение 12 дней</t>
  </si>
  <si>
    <t>1175-1410</t>
  </si>
  <si>
    <t>яблоки свежие (с удаленным семенным гнездом)</t>
  </si>
  <si>
    <t>яблоки свежие (очищенные от кожицы с удаленным семенным гнездом)</t>
  </si>
  <si>
    <t>масло растительное для смазки листа</t>
  </si>
  <si>
    <t>фасоль консервированная в собственном соку</t>
  </si>
  <si>
    <t>30/10</t>
  </si>
  <si>
    <t>масса свеклы вареной очищенной</t>
  </si>
  <si>
    <t>мука пшеничная или сухари</t>
  </si>
  <si>
    <t>огурцы свежие грунтовые</t>
  </si>
  <si>
    <t>клюква свежемороженая</t>
  </si>
  <si>
    <t>урюк</t>
  </si>
  <si>
    <r>
      <t xml:space="preserve">Овощи (свежие, мороженные, консервированные), включая соленые и квашеные </t>
    </r>
    <r>
      <rPr>
        <sz val="6"/>
        <rFont val="Arial"/>
        <family val="2"/>
      </rPr>
      <t>(не более 10% от общего количества овощей), в т.ч. томат-пюре, зелень</t>
    </r>
  </si>
  <si>
    <t>Сухофрукты</t>
  </si>
  <si>
    <r>
      <t xml:space="preserve">Сахар </t>
    </r>
    <r>
      <rPr>
        <sz val="6"/>
        <rFont val="Arial"/>
        <family val="2"/>
      </rPr>
      <t>(в т.ч. для приготовления блюд и напитков, в случае использования пищевой продукции промышленного выпуска, содержащих сахар, выдача сахара должна быть уменьшена в зависимости от его содержания в используемой готовой пищевой продукции)</t>
    </r>
  </si>
  <si>
    <t>Мясо 1-й категории</t>
  </si>
  <si>
    <t>Субпродукты (печень, язык, сердце)</t>
  </si>
  <si>
    <t>Птица (цыплята-бройлеры потрошенные - 1 кат.)</t>
  </si>
  <si>
    <t xml:space="preserve">Рыба (филе), в т.ч. филе слабо или малосоленое </t>
  </si>
  <si>
    <t>Кисломолочная пищевая продукция</t>
  </si>
  <si>
    <t>Творог (5%-9% м.д.ж.)</t>
  </si>
  <si>
    <t>Сыр</t>
  </si>
  <si>
    <t xml:space="preserve">Яйцо </t>
  </si>
  <si>
    <t>Специи</t>
  </si>
  <si>
    <t>Соль пищевая повареная йодированная</t>
  </si>
  <si>
    <t>Какао-порошок</t>
  </si>
  <si>
    <t>Кофейный порошок</t>
  </si>
  <si>
    <t>ИТОГО в среднем за неделю</t>
  </si>
  <si>
    <t>НОРМА ПИЩЕВЫХ ВЕЩЕСТВ И ЭНЕРГИИ ЗА НЕДЕЛЮ (50-60%):</t>
  </si>
  <si>
    <t>39-46</t>
  </si>
  <si>
    <t>40-47</t>
  </si>
  <si>
    <t>168-201</t>
  </si>
  <si>
    <t>ИТОГО ПОТРЕБЛЕНИЕ ПИЩЕВЫХ ВЕЩЕСТВ ЗА НЕДЕЛЮ:</t>
  </si>
  <si>
    <t>№ рецептуры</t>
  </si>
  <si>
    <t xml:space="preserve">*Приложение 10, Таблица 1  "Потребность в пищевых веществах, энергии, витаминах и минеральных веществ (суточная)" СанПиН 2.3/2.4.3590-20 "Санитарно- эпидемиологические требования к организации общественного питания населения" </t>
  </si>
  <si>
    <t>Суммарные объемы блюд по приемам пищи для детей с 7 до 11 лет (не менее)</t>
  </si>
  <si>
    <t>Приложение №9, таблица 3 
к СанПиН 2.3/2.4.3590-20</t>
  </si>
  <si>
    <t>Завтрак, грамм</t>
  </si>
  <si>
    <t>Обед, грамм</t>
  </si>
  <si>
    <t>500</t>
  </si>
  <si>
    <t>700</t>
  </si>
  <si>
    <t>Меню приготавливаемых блюд 
завтрак, обед</t>
  </si>
  <si>
    <t>Возрастная категория: с 7 до 11 лет</t>
  </si>
  <si>
    <t>* Нормы питания в соответствии СанПиН 2.3/2.4.3590-20 "Санитарно- эпидемиологические требования к организации общественного питания населения", Приложение 7, Таблица 2 "Среднесуточные наборы пищевой  продукции для организации питания детей от 7 до 18 лет (в нетто г., мл. на 1 ребенка в сутки)"</t>
  </si>
  <si>
    <r>
      <t xml:space="preserve">Овощи (свежие, мороженные, консервированные), включая соленые и квашеные </t>
    </r>
    <r>
      <rPr>
        <sz val="6"/>
        <rFont val="Arial"/>
        <family val="2"/>
      </rPr>
      <t>(не более 10% от общего количества овощей), в т.ч. томат-пюре, зелень</t>
    </r>
  </si>
  <si>
    <r>
      <t xml:space="preserve">Сахар </t>
    </r>
    <r>
      <rPr>
        <sz val="6"/>
        <rFont val="Arial"/>
        <family val="2"/>
      </rPr>
      <t>(в т.ч. для приготовления блюд и напитков, в случае использования пищевой продукции промышленного выпуска, содержащих сахар, выдача сахара должна быть уменьшена в зависимости от его содержания в используемой готовой пищевой продукции)</t>
    </r>
  </si>
  <si>
    <t>Рацион питания детей в возрасте с 7 до 11 лет</t>
  </si>
  <si>
    <t xml:space="preserve">Распределение энергетической ценности  (калорийности) на отдельные приемы пищи для детей (с 7 до 11 лет)                                                                            </t>
  </si>
  <si>
    <t>№458-2006, Москва</t>
  </si>
  <si>
    <t xml:space="preserve">Каша "Янтарная" из пшена с яблоками  </t>
  </si>
  <si>
    <t>№269-2013, Пермь</t>
  </si>
  <si>
    <t>масса каши</t>
  </si>
  <si>
    <t>для сиропа:</t>
  </si>
  <si>
    <t>яблоки свежие (с удаленным семенным гнездом, очищенные от кожицы)</t>
  </si>
  <si>
    <t>масса яблок, припущенных с сиропом</t>
  </si>
  <si>
    <t>№70-2006, Москва</t>
  </si>
  <si>
    <t xml:space="preserve">Гуляш </t>
  </si>
  <si>
    <t>№152-2004, Пермь</t>
  </si>
  <si>
    <t xml:space="preserve">Макаронные изделия отварные </t>
  </si>
  <si>
    <t>№516-2004</t>
  </si>
  <si>
    <t>№2/10-2011, Екатеринбург</t>
  </si>
  <si>
    <t xml:space="preserve">Сок в ассортименте </t>
  </si>
  <si>
    <t>№518-2013, Пермь</t>
  </si>
  <si>
    <t xml:space="preserve">фрикадельки мясные </t>
  </si>
  <si>
    <t>№112-2004</t>
  </si>
  <si>
    <t>Овощи свежие или консервированные (помидоры)</t>
  </si>
  <si>
    <t xml:space="preserve"> №15/1-2011г, Екатеринбург</t>
  </si>
  <si>
    <t>№443-2004</t>
  </si>
  <si>
    <t xml:space="preserve">Чай с сахаром </t>
  </si>
  <si>
    <t>№685-2004</t>
  </si>
  <si>
    <t>№451-2004</t>
  </si>
  <si>
    <t xml:space="preserve">Котлеты из мяса с маслом </t>
  </si>
  <si>
    <t>90/5</t>
  </si>
  <si>
    <t xml:space="preserve">молоко питьевое </t>
  </si>
  <si>
    <t>Биточки из мяса с маслом</t>
  </si>
  <si>
    <t>Шницель из мяса с маслом</t>
  </si>
  <si>
    <t xml:space="preserve">Пюре картофельное </t>
  </si>
  <si>
    <t>№520-2004</t>
  </si>
  <si>
    <t xml:space="preserve">Компот из урюка </t>
  </si>
  <si>
    <t>№638-2004</t>
  </si>
  <si>
    <t xml:space="preserve">Бутерброд с маслом </t>
  </si>
  <si>
    <t>№1-2004</t>
  </si>
  <si>
    <t xml:space="preserve">Чай с лимоном </t>
  </si>
  <si>
    <t>№686-2004</t>
  </si>
  <si>
    <t>№698-2004</t>
  </si>
  <si>
    <t xml:space="preserve">Салат из капусты белокочанной с морковью </t>
  </si>
  <si>
    <t>№4-2013, Пермь</t>
  </si>
  <si>
    <t>капуста свежая белокочанная</t>
  </si>
  <si>
    <t xml:space="preserve">кислота лимонная </t>
  </si>
  <si>
    <t>вода для разведения лимонной кислоты</t>
  </si>
  <si>
    <t xml:space="preserve">Рассольник Ленинградский  с мясом и сметаной </t>
  </si>
  <si>
    <t>№129-1996</t>
  </si>
  <si>
    <t xml:space="preserve">Рыба запечённая с маслом </t>
  </si>
  <si>
    <t>№310-1996</t>
  </si>
  <si>
    <t xml:space="preserve">Компот из яблок и апельсин  </t>
  </si>
  <si>
    <t>№251-2001, Пермь</t>
  </si>
  <si>
    <t xml:space="preserve">Овощи свежие (огурцы) </t>
  </si>
  <si>
    <t>90/50</t>
  </si>
  <si>
    <t xml:space="preserve">Каша гречневая вязкая </t>
  </si>
  <si>
    <t>№302-2004</t>
  </si>
  <si>
    <t xml:space="preserve">Кофейный напиток </t>
  </si>
  <si>
    <t>№253-2004, Пермь</t>
  </si>
  <si>
    <t xml:space="preserve">Салат "Несвижский" </t>
  </si>
  <si>
    <t>№63-2004</t>
  </si>
  <si>
    <t>зелень свежая (петрушка, укроп)</t>
  </si>
  <si>
    <t>чеснок</t>
  </si>
  <si>
    <t>Капуста тушённая</t>
  </si>
  <si>
    <t>№534-2004</t>
  </si>
  <si>
    <t xml:space="preserve">Компот из кураги </t>
  </si>
  <si>
    <t>№284-1996</t>
  </si>
  <si>
    <t>Овощи на подгарнировку</t>
  </si>
  <si>
    <t xml:space="preserve">Омлет натуральный с маслом  с подгарнировкой </t>
  </si>
  <si>
    <t>№244-2006,Москва</t>
  </si>
  <si>
    <t>или помидоры свежие грунтовые</t>
  </si>
  <si>
    <t xml:space="preserve">Суп картофельный с рыбными фрикадельками </t>
  </si>
  <si>
    <t>№41-2001, Пермь</t>
  </si>
  <si>
    <t xml:space="preserve">Плов из говядины </t>
  </si>
  <si>
    <t>Салат картофельный с зеленым горошком</t>
  </si>
  <si>
    <t>№65-2013, Пермь</t>
  </si>
  <si>
    <t>масса отварного картофеля</t>
  </si>
  <si>
    <t xml:space="preserve">Компот из свежемороженой смородины  </t>
  </si>
  <si>
    <t>№357-2002</t>
  </si>
  <si>
    <t xml:space="preserve">Бутерброд с сыром </t>
  </si>
  <si>
    <t>№3-2004</t>
  </si>
  <si>
    <t xml:space="preserve">Салат из свеклы отварной с огурцами </t>
  </si>
  <si>
    <t>№21-2001, Пермь</t>
  </si>
  <si>
    <t>№148-2004</t>
  </si>
  <si>
    <t xml:space="preserve">ИЛИ Суп-лапша домашняя, с мясными фрикадельками </t>
  </si>
  <si>
    <t xml:space="preserve">лапша домашняя </t>
  </si>
  <si>
    <t>№549-2004</t>
  </si>
  <si>
    <t xml:space="preserve">Овощи тушеные в соусе </t>
  </si>
  <si>
    <t>№18/3-2011, Екатеринбург</t>
  </si>
  <si>
    <t xml:space="preserve">Компот из сухофруктов </t>
  </si>
  <si>
    <t xml:space="preserve">Овощи свежие (помидоры, огурцы) </t>
  </si>
  <si>
    <t>№14/1, 15/1-2011, Екатеринбург</t>
  </si>
  <si>
    <t xml:space="preserve">Рис отварной </t>
  </si>
  <si>
    <t>№511-2004</t>
  </si>
  <si>
    <t xml:space="preserve">Салат из консервированного огурца с луком </t>
  </si>
  <si>
    <t>№17-2004</t>
  </si>
  <si>
    <t xml:space="preserve">Суп гороховый с гренками и мясом </t>
  </si>
  <si>
    <t>№139-2004</t>
  </si>
  <si>
    <t xml:space="preserve">Рыба, тушеная в томате с овощами </t>
  </si>
  <si>
    <t>№343-2013, Пермь</t>
  </si>
  <si>
    <t xml:space="preserve">Компот из свежемороженой вишни  </t>
  </si>
  <si>
    <t xml:space="preserve"> №208-2013, Пермь</t>
  </si>
  <si>
    <t xml:space="preserve">Картофель толченый по деревенски </t>
  </si>
  <si>
    <t xml:space="preserve">Суп-лапша домашняя, с курицей </t>
  </si>
  <si>
    <t xml:space="preserve">Запеканка из творога со сгущённым молоком </t>
  </si>
  <si>
    <t>№366-2004</t>
  </si>
  <si>
    <t xml:space="preserve">Жаркое из птицы </t>
  </si>
  <si>
    <t>№446-1996</t>
  </si>
  <si>
    <t xml:space="preserve">Жаркое по - домашнему </t>
  </si>
  <si>
    <t>№436-2004</t>
  </si>
  <si>
    <t>№110-2004</t>
  </si>
  <si>
    <t xml:space="preserve">Картофель тушеный  </t>
  </si>
  <si>
    <t>№216-2004</t>
  </si>
  <si>
    <t xml:space="preserve">Бутерброд с джемом или повидлом </t>
  </si>
  <si>
    <t>№2-2004</t>
  </si>
  <si>
    <t>джем или повидло (без искусственных ароматизаторов, консервантов и красителей)</t>
  </si>
  <si>
    <t>масса отварной свеклы</t>
  </si>
  <si>
    <t xml:space="preserve">Винегрет овощной </t>
  </si>
  <si>
    <t>№71-2004</t>
  </si>
  <si>
    <t>масса отварной моркови</t>
  </si>
  <si>
    <t>Соки плодоовощные, напитки витаминизированные, в т.ч. Инстантные</t>
  </si>
  <si>
    <t xml:space="preserve">Каша "Дружба" </t>
  </si>
  <si>
    <t>№93-2001, Пермь</t>
  </si>
  <si>
    <t>крупа пшенная</t>
  </si>
  <si>
    <t xml:space="preserve">Компот из свежих яблок с ягодами </t>
  </si>
  <si>
    <t>Салат "Полонынский"</t>
  </si>
  <si>
    <t xml:space="preserve"> №24-2004</t>
  </si>
  <si>
    <t>огурцы свежие парниковые</t>
  </si>
  <si>
    <t>или огурцы свежие грунтовые</t>
  </si>
  <si>
    <t>перец свежий</t>
  </si>
  <si>
    <t>лимонная кислота</t>
  </si>
  <si>
    <t>Кисель из свежих ягод</t>
  </si>
  <si>
    <t>№505-2013, Пермь</t>
  </si>
  <si>
    <t>крахмал</t>
  </si>
  <si>
    <t>Крахмал</t>
  </si>
  <si>
    <t xml:space="preserve">Салат из свежих помидоров </t>
  </si>
  <si>
    <t>№22-2013, Пермь</t>
  </si>
  <si>
    <t>фасоль зеленая стручковая замороженная</t>
  </si>
  <si>
    <t>№151-2013, Пермь</t>
  </si>
  <si>
    <t>или горбуша или кета потрошенная с головой (филе без кожи и костей)</t>
  </si>
  <si>
    <t>масса вареной рыбы</t>
  </si>
  <si>
    <t xml:space="preserve">Пюре картофельное с подгарнировкой (помидоры, огурцы) </t>
  </si>
  <si>
    <t>Пюре картофельное</t>
  </si>
  <si>
    <t>или кабачки свежие</t>
  </si>
  <si>
    <t>или перец свежий</t>
  </si>
  <si>
    <t>14/1-2011, Екатеринбург</t>
  </si>
  <si>
    <t xml:space="preserve"> огурцы свежие грунтовые</t>
  </si>
  <si>
    <t xml:space="preserve">курица потрошеная 1 категории охлажденная </t>
  </si>
  <si>
    <t>№444-2013, Пермь</t>
  </si>
  <si>
    <t xml:space="preserve">сметана </t>
  </si>
  <si>
    <t>или горошек зеленый свежемороженый</t>
  </si>
  <si>
    <t>или смородина свежемороженая</t>
  </si>
  <si>
    <t>или брусника свежемороженая</t>
  </si>
  <si>
    <t>вишня свежемороженая</t>
  </si>
  <si>
    <t>или овощная смесь свежемороженая</t>
  </si>
  <si>
    <t>смородина  свежемороженая</t>
  </si>
  <si>
    <t>или перец свежемороженый</t>
  </si>
  <si>
    <r>
      <t>Соки плодоовощные,</t>
    </r>
    <r>
      <rPr>
        <sz val="6"/>
        <rFont val="Arial"/>
        <family val="2"/>
      </rPr>
      <t xml:space="preserve"> напитки витаминизированные, в т.ч. инстантные</t>
    </r>
  </si>
  <si>
    <t>№524-2004</t>
  </si>
  <si>
    <t xml:space="preserve">Овощи свежемороженые припущенные </t>
  </si>
  <si>
    <t>Йогурт в ассортименте</t>
  </si>
  <si>
    <t>лук репчатый использовать только до 1 марта, после 1 марта  лук репчатый исключить и увеличить закладку других овощей до необходимого выхода блюда</t>
  </si>
  <si>
    <t>морковь до 01.01 - 20%</t>
  </si>
  <si>
    <t>Овощи свежие или консервированные (помидоры) на подгарнировку</t>
  </si>
  <si>
    <t xml:space="preserve">Салат из белокочанной капусты с огурцами свежими </t>
  </si>
  <si>
    <t>№5-2013, Пермь</t>
  </si>
  <si>
    <t>масса капусты, стертой с солью</t>
  </si>
  <si>
    <t xml:space="preserve"> огурцы свежие парниковые</t>
  </si>
  <si>
    <t>Уха рыбацкая</t>
  </si>
  <si>
    <t>Меню содержит обязательные вложения - титульный лист, аннотацию, накопительную ведомость, 
таблицу распределения энергетической ценности (калорийности) на отдельные приемы пищи,  
таблицу суммарных объемов блюд по приемам пищи (в граммах - не менее)</t>
  </si>
  <si>
    <t xml:space="preserve">Омлет натуральный с маслом с подгарнировкой </t>
  </si>
  <si>
    <t xml:space="preserve">Суп крестьянский с крупой с мясом и сметаной  </t>
  </si>
  <si>
    <t>№154-2013, Пермь</t>
  </si>
  <si>
    <t>крупа перловая</t>
  </si>
  <si>
    <t>горбуша или кета потрошенная с головой (филе с кожей без костей)</t>
  </si>
  <si>
    <t>или минтай потрошенный обезглавленный (филе с кожей без костей)</t>
  </si>
  <si>
    <t>масса готовой рыбы</t>
  </si>
  <si>
    <t>для масляно-сырной смеси</t>
  </si>
  <si>
    <t>вода кипяченая для концентрированного молока</t>
  </si>
  <si>
    <t>вода кипяченая для сухого молока</t>
  </si>
  <si>
    <t>№486-1997</t>
  </si>
  <si>
    <t>Соус сметанный с томатом</t>
  </si>
  <si>
    <t>Тефтели из печени с соусом</t>
  </si>
  <si>
    <t>масса отварного рассыпчатого риса</t>
  </si>
  <si>
    <t>№321-2013, Пермь</t>
  </si>
  <si>
    <t xml:space="preserve">крупа манная </t>
  </si>
  <si>
    <t xml:space="preserve">яйцо куриное </t>
  </si>
  <si>
    <t xml:space="preserve">мука пшеничная </t>
  </si>
  <si>
    <t>масса готовых сырников (2 шт. по 65 г)</t>
  </si>
  <si>
    <t xml:space="preserve">Сырники из творога запечённые с молоком сгущенным  </t>
  </si>
  <si>
    <t>ТТК, ТК № 2</t>
  </si>
  <si>
    <t>43</t>
  </si>
  <si>
    <t>огурцы консервированные</t>
  </si>
  <si>
    <t>маслины</t>
  </si>
  <si>
    <t>ТТК, ТК №5</t>
  </si>
  <si>
    <t xml:space="preserve">Салат из огурцов  </t>
  </si>
  <si>
    <t xml:space="preserve">хлеб пшеничный </t>
  </si>
  <si>
    <t>масло растительное для смазки емкости</t>
  </si>
  <si>
    <t>№410-2013, Пермь</t>
  </si>
  <si>
    <t>Фрикадельки из кур и говядины</t>
  </si>
  <si>
    <t>№54-24м-2020-2021, Новосибирск</t>
  </si>
  <si>
    <t xml:space="preserve">Шницель из птицы с маслом  </t>
  </si>
  <si>
    <t xml:space="preserve">Борщ "Сибирский" с мясом со сметаной  </t>
  </si>
  <si>
    <t>№111-2004</t>
  </si>
  <si>
    <t>фасоль</t>
  </si>
  <si>
    <t>томатное пюре (без искусственных ароматизаторов, красителей и консервантов, без содержания крахмала и соли)</t>
  </si>
  <si>
    <t>свекла - до 01.01 -20%</t>
  </si>
  <si>
    <t>Суфле творожное со сладкой глазурью</t>
  </si>
  <si>
    <t>№19/3-2011, Екатеринбург</t>
  </si>
  <si>
    <t>джем промышленного производства (без искусственных ароматизаторов, красителей и консервантов)</t>
  </si>
  <si>
    <t>масло сливочное на смазку емкости</t>
  </si>
  <si>
    <t>№498-2004</t>
  </si>
  <si>
    <t>филе куриное или индейки</t>
  </si>
  <si>
    <t>или грудка куриная (разделка на мякоть без кожи)</t>
  </si>
  <si>
    <t>дрожжи прессованные</t>
  </si>
  <si>
    <t>или дрожжи сухие</t>
  </si>
  <si>
    <t>яйца для смазки изделия</t>
  </si>
  <si>
    <t>№452-2004</t>
  </si>
  <si>
    <t>свинина мясная</t>
  </si>
  <si>
    <t>филе индейки</t>
  </si>
  <si>
    <t>яйца</t>
  </si>
  <si>
    <t>Зразы рубленные из индейки с сыром</t>
  </si>
  <si>
    <t>90</t>
  </si>
  <si>
    <t>№54-23М-2020, 2021, Новосибирск</t>
  </si>
  <si>
    <t>филе грудки индейки</t>
  </si>
  <si>
    <t xml:space="preserve">батон </t>
  </si>
  <si>
    <t>Птица, в соусе с томатом</t>
  </si>
  <si>
    <t>№405-2013, Пермь</t>
  </si>
  <si>
    <t xml:space="preserve">филе куриное или филе грудки индейки </t>
  </si>
  <si>
    <t>масса тушеной мякоти птицы</t>
  </si>
  <si>
    <t>томатная паста (без искусственных ароматизаторов, красителей и консервантов, без содержания крахмала и соли)</t>
  </si>
  <si>
    <t>Биточки рубленные из птицы запеченные с маслом</t>
  </si>
  <si>
    <t>№14/2-2011, Екатеринбург</t>
  </si>
  <si>
    <t>ИЛИ Суп из овощей с яйцом, с мясом</t>
  </si>
  <si>
    <t>Суп из овощей с яйцом, с курицей</t>
  </si>
  <si>
    <t>Котлеты из мяса</t>
  </si>
  <si>
    <t>Шницель из мяса</t>
  </si>
  <si>
    <t>250/50</t>
  </si>
  <si>
    <t>масса тушеного мяса</t>
  </si>
  <si>
    <t xml:space="preserve">Печень, тушеная в соусе </t>
  </si>
  <si>
    <t>№401-2013, Пермь</t>
  </si>
  <si>
    <t>масса тушеной печени</t>
  </si>
  <si>
    <t xml:space="preserve">соус сметанный </t>
  </si>
  <si>
    <t>№442-2013, Пермь</t>
  </si>
  <si>
    <t>Овощи консервированные без уксуса (огурцы)</t>
  </si>
  <si>
    <t xml:space="preserve"> №101-2004</t>
  </si>
  <si>
    <t>Кондитерское изделие промышленного производства в ассортименте</t>
  </si>
  <si>
    <t>макаронные изделия</t>
  </si>
  <si>
    <t>10-ти ДНЕВНОЕ МЕНЮ №2348 от 16.06.2022г</t>
  </si>
  <si>
    <t>НАКОПИТЕЛЬНАЯ ВЕДОМОСТЬ к меню №2348 от 16.06.2022г (с 7 до 11 лет)</t>
  </si>
  <si>
    <t xml:space="preserve"> 7 день</t>
  </si>
  <si>
    <t xml:space="preserve">8 день </t>
  </si>
  <si>
    <t>за 10 дней, г</t>
  </si>
  <si>
    <t>С 1 по 5 день</t>
  </si>
  <si>
    <t>С 6 по 10 день</t>
  </si>
  <si>
    <t xml:space="preserve"> №416-1996</t>
  </si>
  <si>
    <t>молоко питьевое или вода питьевая</t>
  </si>
  <si>
    <t>32</t>
  </si>
  <si>
    <t>Биточки особые (из свинины мясной и филе индейки) с маслом</t>
  </si>
  <si>
    <t>Котлеты из мяса по домашнему (свинина мясная и говядина) с маслом</t>
  </si>
  <si>
    <t>250/20/5</t>
  </si>
  <si>
    <t xml:space="preserve">Какао с молоком </t>
  </si>
  <si>
    <t>№642-1996</t>
  </si>
  <si>
    <t>какао - порошок</t>
  </si>
  <si>
    <t>20/15</t>
  </si>
  <si>
    <t>Рыба запеченная с сыром (Технико - технологическая карта № 1, разработана АУ ТО "Центр технологического контроля")</t>
  </si>
  <si>
    <t>ТТК, ТК № 1</t>
  </si>
  <si>
    <t>ТТК, ТК №3</t>
  </si>
  <si>
    <t>Куриные мячики с маслом (Технико - технологическая карта № 3, разработана АУ ТО "Центр технологического контроля")</t>
  </si>
  <si>
    <t>Салат "Пестрый" (Технико - технологическая карта №2, разработана АУ ТО "Центр технологического контроля")</t>
  </si>
  <si>
    <t>Солянка из мяса со сметаной (Технико - технологическая карта №4, разработана АУ ТО "Центр технологического контроля")</t>
  </si>
  <si>
    <t>ТТК, ТК №4</t>
  </si>
  <si>
    <t>Сырная палочка (Технико - технологическая карта №5, разработана АУ ТО "Центр технологического контроля")</t>
  </si>
  <si>
    <t>НОРМА ПИЩЕВЫХ ВЕЩЕСТВ И ЭНЕРГИИ ЗА НЕДЕЛЮ (100%)*:</t>
  </si>
  <si>
    <t xml:space="preserve">Борщ из свежей капусты с картофелем, со сметаной, с мясными фрикадельками </t>
  </si>
  <si>
    <t>*Приложение 10, Таблица 3 СанПиН 2.3/2.4.3590-20 "Санитарно- эпидемиологические требования к организации общественного питания населения"</t>
  </si>
  <si>
    <t>**Приложение 10, Таблица 1 СанПиН 2.3/2.4.3590-20 "Санитарно- эпидемиологические требования к организации общественного питания населения"</t>
  </si>
  <si>
    <t>№639-2004</t>
  </si>
  <si>
    <t>или лимон для сока</t>
  </si>
  <si>
    <t>капуста старого урожая используется в сыром виде до 1 марта, с 1 марта только капуста нового урожая</t>
  </si>
  <si>
    <t xml:space="preserve">масло растительное </t>
  </si>
  <si>
    <t>капуста и морковь старого урожая используется в сыром виде до 1 марта, с 1 марта только капуста и морковь нового урожая или другой салат</t>
  </si>
  <si>
    <t>Винегрет овощной с фасолью</t>
  </si>
  <si>
    <t>№76-2013, Пермь</t>
  </si>
  <si>
    <t>масса отварной печени</t>
  </si>
  <si>
    <t>100/50</t>
  </si>
  <si>
    <t>масло растительное на полив при подаче</t>
  </si>
  <si>
    <t>масса тушеной птицы (порционные кусочки)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</si>
</sst>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[$-FC19]d\ mmmm\ yyyy\ &quot;г.&quot;"/>
    <numFmt numFmtId="197" formatCode="_(* #,##0.0_);_(* \(#,##0.0\);_(* &quot;-&quot;??_);_(@_)"/>
    <numFmt numFmtId="198" formatCode="_(* #,##0_);_(* \(#,##0\);_(* &quot;-&quot;??_);_(@_)"/>
    <numFmt numFmtId="199" formatCode="_-* #,##0.0_р_._-;\-* #,##0.0_р_._-;_-* &quot;-&quot;??_р_._-;_-@_-"/>
    <numFmt numFmtId="200" formatCode="_-* #,##0_р_._-;\-* #,##0_р_._-;_-* &quot;-&quot;??_р_._-;_-@_-"/>
    <numFmt numFmtId="201" formatCode="#,##0.00_ ;\-#,##0.00\ "/>
    <numFmt numFmtId="202" formatCode="_-* #,##0.000000_р_._-;\-* #,##0.000000_р_._-;_-* &quot;-&quot;??_р_._-;_-@_-"/>
    <numFmt numFmtId="203" formatCode="0.000000"/>
    <numFmt numFmtId="204" formatCode="0.0000000"/>
  </numFmts>
  <fonts count="67">
    <font>
      <sz val="10"/>
      <name val="Arial"/>
      <family val="0"/>
    </font>
    <font>
      <sz val="14"/>
      <name val="Arial Black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7"/>
      <name val="Arial"/>
      <family val="2"/>
    </font>
    <font>
      <b/>
      <i/>
      <sz val="11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 Cyr"/>
      <family val="0"/>
    </font>
    <font>
      <b/>
      <i/>
      <sz val="10"/>
      <name val="Arial"/>
      <family val="2"/>
    </font>
    <font>
      <sz val="6"/>
      <name val="Arial"/>
      <family val="2"/>
    </font>
    <font>
      <sz val="12"/>
      <name val="Arial Black"/>
      <family val="2"/>
    </font>
    <font>
      <sz val="11"/>
      <name val="Arial Black"/>
      <family val="2"/>
    </font>
    <font>
      <b/>
      <sz val="7"/>
      <name val="Arial Cyr"/>
      <family val="0"/>
    </font>
    <font>
      <b/>
      <sz val="6"/>
      <name val="Arial"/>
      <family val="2"/>
    </font>
    <font>
      <b/>
      <i/>
      <sz val="7"/>
      <name val="Arial"/>
      <family val="2"/>
    </font>
    <font>
      <sz val="7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12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40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0" borderId="7" applyNumberFormat="0" applyAlignment="0" applyProtection="0"/>
    <xf numFmtId="0" fontId="8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5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5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5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92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1" fontId="0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" fontId="3" fillId="0" borderId="0" xfId="0" applyNumberFormat="1" applyFont="1" applyAlignment="1">
      <alignment/>
    </xf>
    <xf numFmtId="0" fontId="2" fillId="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" fontId="0" fillId="25" borderId="10" xfId="0" applyNumberFormat="1" applyFont="1" applyFill="1" applyBorder="1" applyAlignment="1">
      <alignment horizontal="center" vertical="center"/>
    </xf>
    <xf numFmtId="1" fontId="0" fillId="2" borderId="10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92" fontId="0" fillId="0" borderId="10" xfId="0" applyNumberFormat="1" applyFont="1" applyBorder="1" applyAlignment="1">
      <alignment horizontal="center" vertical="center"/>
    </xf>
    <xf numFmtId="192" fontId="0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" fontId="2" fillId="26" borderId="10" xfId="0" applyNumberFormat="1" applyFont="1" applyFill="1" applyBorder="1" applyAlignment="1">
      <alignment horizontal="center" vertical="center"/>
    </xf>
    <xf numFmtId="192" fontId="2" fillId="26" borderId="10" xfId="0" applyNumberFormat="1" applyFont="1" applyFill="1" applyBorder="1" applyAlignment="1">
      <alignment horizontal="center" vertical="center"/>
    </xf>
    <xf numFmtId="192" fontId="11" fillId="26" borderId="10" xfId="0" applyNumberFormat="1" applyFont="1" applyFill="1" applyBorder="1" applyAlignment="1">
      <alignment horizontal="center" vertical="center"/>
    </xf>
    <xf numFmtId="0" fontId="0" fillId="26" borderId="0" xfId="0" applyFill="1" applyAlignment="1">
      <alignment/>
    </xf>
    <xf numFmtId="1" fontId="0" fillId="0" borderId="10" xfId="55" applyNumberFormat="1" applyFont="1" applyFill="1" applyBorder="1" applyAlignment="1">
      <alignment horizontal="center" vertical="center"/>
      <protection/>
    </xf>
    <xf numFmtId="1" fontId="0" fillId="27" borderId="10" xfId="0" applyNumberFormat="1" applyFont="1" applyFill="1" applyBorder="1" applyAlignment="1">
      <alignment horizontal="center" vertical="center"/>
    </xf>
    <xf numFmtId="1" fontId="0" fillId="0" borderId="10" xfId="55" applyNumberFormat="1" applyFont="1" applyBorder="1" applyAlignment="1">
      <alignment horizontal="center" vertical="center"/>
      <protection/>
    </xf>
    <xf numFmtId="0" fontId="0" fillId="0" borderId="10" xfId="55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 wrapText="1"/>
    </xf>
    <xf numFmtId="0" fontId="0" fillId="25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13" fillId="0" borderId="10" xfId="56" applyFont="1" applyBorder="1" applyAlignment="1">
      <alignment horizontal="right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0" fontId="3" fillId="2" borderId="10" xfId="0" applyFont="1" applyFill="1" applyBorder="1" applyAlignment="1">
      <alignment horizontal="center" vertical="center"/>
    </xf>
    <xf numFmtId="0" fontId="0" fillId="0" borderId="10" xfId="55" applyFont="1" applyBorder="1" applyAlignment="1">
      <alignment horizontal="right" vertical="center"/>
      <protection/>
    </xf>
    <xf numFmtId="0" fontId="0" fillId="0" borderId="10" xfId="55" applyFont="1" applyFill="1" applyBorder="1" applyAlignment="1">
      <alignment horizontal="right" vertical="center"/>
      <protection/>
    </xf>
    <xf numFmtId="0" fontId="2" fillId="26" borderId="10" xfId="0" applyFont="1" applyFill="1" applyBorder="1" applyAlignment="1">
      <alignment horizontal="center" vertical="center"/>
    </xf>
    <xf numFmtId="0" fontId="14" fillId="26" borderId="10" xfId="0" applyFont="1" applyFill="1" applyBorder="1" applyAlignment="1">
      <alignment horizontal="center" vertical="center"/>
    </xf>
    <xf numFmtId="0" fontId="14" fillId="26" borderId="10" xfId="0" applyFont="1" applyFill="1" applyBorder="1" applyAlignment="1">
      <alignment vertical="center"/>
    </xf>
    <xf numFmtId="1" fontId="14" fillId="26" borderId="10" xfId="0" applyNumberFormat="1" applyFont="1" applyFill="1" applyBorder="1" applyAlignment="1">
      <alignment horizontal="center" vertical="center"/>
    </xf>
    <xf numFmtId="1" fontId="15" fillId="26" borderId="10" xfId="0" applyNumberFormat="1" applyFont="1" applyFill="1" applyBorder="1" applyAlignment="1">
      <alignment horizontal="center" vertical="center"/>
    </xf>
    <xf numFmtId="0" fontId="14" fillId="26" borderId="10" xfId="0" applyFont="1" applyFill="1" applyBorder="1" applyAlignment="1">
      <alignment horizontal="center" vertical="center" wrapText="1"/>
    </xf>
    <xf numFmtId="192" fontId="2" fillId="26" borderId="10" xfId="0" applyNumberFormat="1" applyFont="1" applyFill="1" applyBorder="1" applyAlignment="1">
      <alignment horizontal="center" vertical="center"/>
    </xf>
    <xf numFmtId="0" fontId="19" fillId="26" borderId="10" xfId="0" applyFont="1" applyFill="1" applyBorder="1" applyAlignment="1">
      <alignment horizontal="center" vertical="center"/>
    </xf>
    <xf numFmtId="192" fontId="10" fillId="26" borderId="10" xfId="0" applyNumberFormat="1" applyFont="1" applyFill="1" applyBorder="1" applyAlignment="1">
      <alignment horizontal="center" vertical="center"/>
    </xf>
    <xf numFmtId="0" fontId="0" fillId="27" borderId="10" xfId="0" applyFont="1" applyFill="1" applyBorder="1" applyAlignment="1">
      <alignment horizontal="right" vertical="center"/>
    </xf>
    <xf numFmtId="1" fontId="0" fillId="26" borderId="10" xfId="0" applyNumberFormat="1" applyFont="1" applyFill="1" applyBorder="1" applyAlignment="1">
      <alignment horizontal="center" vertical="center"/>
    </xf>
    <xf numFmtId="0" fontId="0" fillId="26" borderId="10" xfId="55" applyFont="1" applyFill="1" applyBorder="1" applyAlignment="1">
      <alignment horizontal="center" vertical="center"/>
      <protection/>
    </xf>
    <xf numFmtId="1" fontId="13" fillId="0" borderId="10" xfId="56" applyNumberFormat="1" applyFont="1" applyBorder="1" applyAlignment="1">
      <alignment horizontal="center" vertical="center"/>
      <protection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center" vertical="center"/>
    </xf>
    <xf numFmtId="192" fontId="11" fillId="26" borderId="10" xfId="0" applyNumberFormat="1" applyFont="1" applyFill="1" applyBorder="1" applyAlignment="1">
      <alignment horizontal="center" vertical="center"/>
    </xf>
    <xf numFmtId="0" fontId="11" fillId="26" borderId="10" xfId="0" applyFont="1" applyFill="1" applyBorder="1" applyAlignment="1">
      <alignment horizontal="center" vertical="center"/>
    </xf>
    <xf numFmtId="192" fontId="3" fillId="26" borderId="10" xfId="0" applyNumberFormat="1" applyFont="1" applyFill="1" applyBorder="1" applyAlignment="1">
      <alignment horizontal="center" vertical="center"/>
    </xf>
    <xf numFmtId="192" fontId="0" fillId="26" borderId="10" xfId="0" applyNumberFormat="1" applyFont="1" applyFill="1" applyBorder="1" applyAlignment="1">
      <alignment horizontal="center" vertical="center"/>
    </xf>
    <xf numFmtId="1" fontId="12" fillId="26" borderId="10" xfId="0" applyNumberFormat="1" applyFont="1" applyFill="1" applyBorder="1" applyAlignment="1">
      <alignment horizontal="center" vertical="center"/>
    </xf>
    <xf numFmtId="0" fontId="14" fillId="26" borderId="10" xfId="0" applyFont="1" applyFill="1" applyBorder="1" applyAlignment="1">
      <alignment vertical="center" wrapText="1"/>
    </xf>
    <xf numFmtId="0" fontId="0" fillId="26" borderId="0" xfId="0" applyFont="1" applyFill="1" applyAlignment="1">
      <alignment/>
    </xf>
    <xf numFmtId="192" fontId="12" fillId="26" borderId="10" xfId="0" applyNumberFormat="1" applyFont="1" applyFill="1" applyBorder="1" applyAlignment="1">
      <alignment horizontal="center" vertical="center"/>
    </xf>
    <xf numFmtId="192" fontId="14" fillId="26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right" vertical="center" wrapText="1"/>
    </xf>
    <xf numFmtId="0" fontId="14" fillId="26" borderId="10" xfId="0" applyFont="1" applyFill="1" applyBorder="1" applyAlignment="1">
      <alignment vertical="center" wrapText="1"/>
    </xf>
    <xf numFmtId="0" fontId="2" fillId="26" borderId="0" xfId="0" applyFont="1" applyFill="1" applyAlignment="1">
      <alignment/>
    </xf>
    <xf numFmtId="192" fontId="2" fillId="26" borderId="10" xfId="55" applyNumberFormat="1" applyFont="1" applyFill="1" applyBorder="1" applyAlignment="1">
      <alignment horizontal="center" vertical="center"/>
      <protection/>
    </xf>
    <xf numFmtId="192" fontId="19" fillId="26" borderId="10" xfId="0" applyNumberFormat="1" applyFont="1" applyFill="1" applyBorder="1" applyAlignment="1">
      <alignment horizontal="center" vertical="center"/>
    </xf>
    <xf numFmtId="192" fontId="20" fillId="26" borderId="10" xfId="0" applyNumberFormat="1" applyFont="1" applyFill="1" applyBorder="1" applyAlignment="1">
      <alignment horizontal="center" vertical="center"/>
    </xf>
    <xf numFmtId="192" fontId="0" fillId="26" borderId="10" xfId="0" applyNumberFormat="1" applyFont="1" applyFill="1" applyBorder="1" applyAlignment="1">
      <alignment horizontal="center" vertical="center"/>
    </xf>
    <xf numFmtId="192" fontId="0" fillId="26" borderId="10" xfId="55" applyNumberFormat="1" applyFont="1" applyFill="1" applyBorder="1" applyAlignment="1">
      <alignment horizontal="center" vertical="center"/>
      <protection/>
    </xf>
    <xf numFmtId="192" fontId="2" fillId="0" borderId="10" xfId="0" applyNumberFormat="1" applyFont="1" applyFill="1" applyBorder="1" applyAlignment="1">
      <alignment horizontal="center" vertical="center"/>
    </xf>
    <xf numFmtId="192" fontId="2" fillId="0" borderId="10" xfId="0" applyNumberFormat="1" applyFont="1" applyBorder="1" applyAlignment="1">
      <alignment horizontal="center" vertical="center"/>
    </xf>
    <xf numFmtId="0" fontId="0" fillId="26" borderId="0" xfId="0" applyFont="1" applyFill="1" applyAlignment="1">
      <alignment/>
    </xf>
    <xf numFmtId="0" fontId="0" fillId="27" borderId="10" xfId="0" applyFont="1" applyFill="1" applyBorder="1" applyAlignment="1">
      <alignment horizontal="right" vertical="center" wrapText="1"/>
    </xf>
    <xf numFmtId="192" fontId="0" fillId="26" borderId="10" xfId="0" applyNumberFormat="1" applyFont="1" applyFill="1" applyBorder="1" applyAlignment="1">
      <alignment/>
    </xf>
    <xf numFmtId="1" fontId="0" fillId="27" borderId="10" xfId="0" applyNumberFormat="1" applyFont="1" applyFill="1" applyBorder="1" applyAlignment="1">
      <alignment horizontal="center" vertical="center"/>
    </xf>
    <xf numFmtId="192" fontId="2" fillId="0" borderId="0" xfId="0" applyNumberFormat="1" applyFont="1" applyAlignment="1">
      <alignment/>
    </xf>
    <xf numFmtId="0" fontId="14" fillId="26" borderId="0" xfId="0" applyFont="1" applyFill="1" applyBorder="1" applyAlignment="1">
      <alignment vertical="center"/>
    </xf>
    <xf numFmtId="0" fontId="65" fillId="26" borderId="10" xfId="0" applyFont="1" applyFill="1" applyBorder="1" applyAlignment="1">
      <alignment horizontal="center" vertical="center"/>
    </xf>
    <xf numFmtId="0" fontId="0" fillId="26" borderId="0" xfId="0" applyFill="1" applyAlignment="1">
      <alignment vertical="center"/>
    </xf>
    <xf numFmtId="2" fontId="3" fillId="26" borderId="10" xfId="0" applyNumberFormat="1" applyFont="1" applyFill="1" applyBorder="1" applyAlignment="1">
      <alignment horizontal="center" vertical="center"/>
    </xf>
    <xf numFmtId="0" fontId="14" fillId="26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center"/>
    </xf>
    <xf numFmtId="1" fontId="0" fillId="26" borderId="10" xfId="0" applyNumberFormat="1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 wrapText="1"/>
    </xf>
    <xf numFmtId="0" fontId="0" fillId="26" borderId="11" xfId="0" applyFill="1" applyBorder="1" applyAlignment="1">
      <alignment vertical="center"/>
    </xf>
    <xf numFmtId="0" fontId="0" fillId="26" borderId="12" xfId="0" applyFill="1" applyBorder="1" applyAlignment="1">
      <alignment vertical="center"/>
    </xf>
    <xf numFmtId="192" fontId="15" fillId="26" borderId="10" xfId="0" applyNumberFormat="1" applyFont="1" applyFill="1" applyBorder="1" applyAlignment="1">
      <alignment horizontal="center" vertical="center"/>
    </xf>
    <xf numFmtId="0" fontId="3" fillId="26" borderId="0" xfId="0" applyFont="1" applyFill="1" applyAlignment="1">
      <alignment vertical="center"/>
    </xf>
    <xf numFmtId="0" fontId="9" fillId="26" borderId="13" xfId="0" applyFont="1" applyFill="1" applyBorder="1" applyAlignment="1">
      <alignment horizontal="center" vertical="center" wrapText="1"/>
    </xf>
    <xf numFmtId="0" fontId="9" fillId="26" borderId="14" xfId="0" applyFont="1" applyFill="1" applyBorder="1" applyAlignment="1">
      <alignment horizontal="center" vertical="center" wrapText="1"/>
    </xf>
    <xf numFmtId="0" fontId="9" fillId="26" borderId="15" xfId="0" applyFont="1" applyFill="1" applyBorder="1" applyAlignment="1">
      <alignment horizontal="center" vertical="center" wrapText="1"/>
    </xf>
    <xf numFmtId="0" fontId="9" fillId="26" borderId="10" xfId="0" applyFont="1" applyFill="1" applyBorder="1" applyAlignment="1">
      <alignment horizontal="center" vertical="center" wrapText="1"/>
    </xf>
    <xf numFmtId="192" fontId="15" fillId="26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92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92" fontId="2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 applyProtection="1">
      <alignment horizontal="center" vertical="center"/>
      <protection/>
    </xf>
    <xf numFmtId="192" fontId="19" fillId="26" borderId="10" xfId="55" applyNumberFormat="1" applyFont="1" applyFill="1" applyBorder="1" applyAlignment="1">
      <alignment horizontal="center" vertical="center"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192" fontId="18" fillId="26" borderId="10" xfId="0" applyNumberFormat="1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0" fillId="0" borderId="10" xfId="55" applyFont="1" applyBorder="1" applyAlignment="1">
      <alignment horizontal="center" vertical="center"/>
      <protection/>
    </xf>
    <xf numFmtId="0" fontId="0" fillId="0" borderId="10" xfId="55" applyFont="1" applyBorder="1" applyAlignment="1">
      <alignment horizontal="right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0" fontId="13" fillId="27" borderId="10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1" fontId="0" fillId="0" borderId="0" xfId="0" applyNumberFormat="1" applyFont="1" applyBorder="1" applyAlignment="1">
      <alignment/>
    </xf>
    <xf numFmtId="192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/>
    </xf>
    <xf numFmtId="192" fontId="0" fillId="0" borderId="0" xfId="0" applyNumberFormat="1" applyFont="1" applyAlignment="1">
      <alignment/>
    </xf>
    <xf numFmtId="0" fontId="0" fillId="27" borderId="10" xfId="0" applyFont="1" applyFill="1" applyBorder="1" applyAlignment="1">
      <alignment horizontal="center" vertical="center"/>
    </xf>
    <xf numFmtId="192" fontId="0" fillId="26" borderId="10" xfId="0" applyNumberFormat="1" applyFont="1" applyFill="1" applyBorder="1" applyAlignment="1">
      <alignment/>
    </xf>
    <xf numFmtId="0" fontId="0" fillId="26" borderId="10" xfId="0" applyFont="1" applyFill="1" applyBorder="1" applyAlignment="1">
      <alignment/>
    </xf>
    <xf numFmtId="1" fontId="0" fillId="26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26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92" fontId="0" fillId="0" borderId="10" xfId="55" applyNumberFormat="1" applyFont="1" applyBorder="1" applyAlignment="1">
      <alignment horizontal="center" vertical="center"/>
      <protection/>
    </xf>
    <xf numFmtId="192" fontId="0" fillId="0" borderId="10" xfId="55" applyNumberFormat="1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1" fontId="0" fillId="0" borderId="0" xfId="0" applyNumberFormat="1" applyFont="1" applyBorder="1" applyAlignment="1">
      <alignment horizontal="right"/>
    </xf>
    <xf numFmtId="0" fontId="23" fillId="0" borderId="10" xfId="56" applyFont="1" applyBorder="1" applyAlignment="1">
      <alignment horizontal="right" vertical="center" wrapText="1"/>
      <protection/>
    </xf>
    <xf numFmtId="1" fontId="23" fillId="0" borderId="10" xfId="56" applyNumberFormat="1" applyFont="1" applyBorder="1" applyAlignment="1">
      <alignment horizontal="center" vertical="center"/>
      <protection/>
    </xf>
    <xf numFmtId="1" fontId="24" fillId="0" borderId="10" xfId="0" applyNumberFormat="1" applyFont="1" applyBorder="1" applyAlignment="1">
      <alignment horizontal="center" vertical="center"/>
    </xf>
    <xf numFmtId="192" fontId="24" fillId="26" borderId="10" xfId="0" applyNumberFormat="1" applyFont="1" applyFill="1" applyBorder="1" applyAlignment="1">
      <alignment horizontal="center" vertical="center"/>
    </xf>
    <xf numFmtId="0" fontId="2" fillId="26" borderId="0" xfId="0" applyFont="1" applyFill="1" applyBorder="1" applyAlignment="1">
      <alignment horizontal="center" vertical="center"/>
    </xf>
    <xf numFmtId="192" fontId="2" fillId="26" borderId="0" xfId="0" applyNumberFormat="1" applyFont="1" applyFill="1" applyBorder="1" applyAlignment="1">
      <alignment horizontal="center" vertical="center"/>
    </xf>
    <xf numFmtId="1" fontId="2" fillId="26" borderId="0" xfId="0" applyNumberFormat="1" applyFont="1" applyFill="1" applyBorder="1" applyAlignment="1">
      <alignment horizontal="center" vertical="center"/>
    </xf>
    <xf numFmtId="2" fontId="2" fillId="26" borderId="0" xfId="0" applyNumberFormat="1" applyFont="1" applyFill="1" applyBorder="1" applyAlignment="1">
      <alignment horizontal="center" vertical="center"/>
    </xf>
    <xf numFmtId="0" fontId="0" fillId="26" borderId="0" xfId="0" applyFont="1" applyFill="1" applyBorder="1" applyAlignment="1">
      <alignment horizontal="right" vertical="center"/>
    </xf>
    <xf numFmtId="1" fontId="0" fillId="26" borderId="0" xfId="0" applyNumberFormat="1" applyFont="1" applyFill="1" applyBorder="1" applyAlignment="1">
      <alignment horizontal="center" vertical="center"/>
    </xf>
    <xf numFmtId="0" fontId="0" fillId="26" borderId="0" xfId="0" applyFont="1" applyFill="1" applyBorder="1" applyAlignment="1">
      <alignment horizontal="center" vertical="center"/>
    </xf>
    <xf numFmtId="192" fontId="0" fillId="26" borderId="0" xfId="0" applyNumberFormat="1" applyFont="1" applyFill="1" applyBorder="1" applyAlignment="1">
      <alignment horizontal="center" vertical="center"/>
    </xf>
    <xf numFmtId="2" fontId="0" fillId="26" borderId="0" xfId="0" applyNumberFormat="1" applyFont="1" applyFill="1" applyBorder="1" applyAlignment="1">
      <alignment vertical="center"/>
    </xf>
    <xf numFmtId="192" fontId="0" fillId="0" borderId="0" xfId="0" applyNumberFormat="1" applyFont="1" applyFill="1" applyBorder="1" applyAlignment="1">
      <alignment horizontal="center" vertical="center"/>
    </xf>
    <xf numFmtId="2" fontId="2" fillId="26" borderId="0" xfId="0" applyNumberFormat="1" applyFont="1" applyFill="1" applyBorder="1" applyAlignment="1">
      <alignment vertical="center"/>
    </xf>
    <xf numFmtId="0" fontId="0" fillId="26" borderId="0" xfId="0" applyFont="1" applyFill="1" applyBorder="1" applyAlignment="1">
      <alignment horizontal="center" vertical="center"/>
    </xf>
    <xf numFmtId="192" fontId="0" fillId="26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92" fontId="2" fillId="26" borderId="0" xfId="0" applyNumberFormat="1" applyFont="1" applyFill="1" applyBorder="1" applyAlignment="1">
      <alignment horizontal="center" vertical="center"/>
    </xf>
    <xf numFmtId="192" fontId="9" fillId="26" borderId="10" xfId="0" applyNumberFormat="1" applyFont="1" applyFill="1" applyBorder="1" applyAlignment="1">
      <alignment horizontal="center" vertical="center"/>
    </xf>
    <xf numFmtId="0" fontId="14" fillId="26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4" fillId="26" borderId="10" xfId="0" applyFont="1" applyFill="1" applyBorder="1" applyAlignment="1">
      <alignment horizontal="left" vertical="center" wrapText="1"/>
    </xf>
    <xf numFmtId="0" fontId="14" fillId="26" borderId="10" xfId="0" applyFont="1" applyFill="1" applyBorder="1" applyAlignment="1">
      <alignment horizontal="left" vertical="center" wrapText="1"/>
    </xf>
    <xf numFmtId="192" fontId="14" fillId="26" borderId="16" xfId="0" applyNumberFormat="1" applyFont="1" applyFill="1" applyBorder="1" applyAlignment="1">
      <alignment horizontal="center" vertical="center"/>
    </xf>
    <xf numFmtId="1" fontId="14" fillId="26" borderId="1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1" fontId="20" fillId="26" borderId="0" xfId="0" applyNumberFormat="1" applyFont="1" applyFill="1" applyBorder="1" applyAlignment="1">
      <alignment horizontal="center" vertical="center"/>
    </xf>
    <xf numFmtId="0" fontId="14" fillId="26" borderId="16" xfId="0" applyFont="1" applyFill="1" applyBorder="1" applyAlignment="1">
      <alignment horizontal="center" vertical="center"/>
    </xf>
    <xf numFmtId="0" fontId="0" fillId="26" borderId="0" xfId="0" applyFont="1" applyFill="1" applyAlignment="1">
      <alignment vertical="center"/>
    </xf>
    <xf numFmtId="192" fontId="14" fillId="26" borderId="10" xfId="0" applyNumberFormat="1" applyFont="1" applyFill="1" applyBorder="1" applyAlignment="1">
      <alignment vertical="center"/>
    </xf>
    <xf numFmtId="49" fontId="0" fillId="26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2" fontId="9" fillId="26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/>
    </xf>
    <xf numFmtId="1" fontId="9" fillId="26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192" fontId="9" fillId="26" borderId="10" xfId="0" applyNumberFormat="1" applyFont="1" applyFill="1" applyBorder="1" applyAlignment="1">
      <alignment horizontal="center" vertical="center" wrapText="1"/>
    </xf>
    <xf numFmtId="2" fontId="0" fillId="26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26" borderId="10" xfId="0" applyFont="1" applyFill="1" applyBorder="1" applyAlignment="1">
      <alignment horizontal="center" vertical="center"/>
    </xf>
    <xf numFmtId="0" fontId="19" fillId="0" borderId="10" xfId="55" applyFont="1" applyFill="1" applyBorder="1" applyAlignment="1">
      <alignment horizontal="center" vertical="center"/>
      <protection/>
    </xf>
    <xf numFmtId="0" fontId="28" fillId="0" borderId="10" xfId="0" applyFont="1" applyFill="1" applyBorder="1" applyAlignment="1">
      <alignment horizontal="center" vertical="center" wrapText="1"/>
    </xf>
    <xf numFmtId="192" fontId="9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192" fontId="0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192" fontId="9" fillId="0" borderId="10" xfId="0" applyNumberFormat="1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26" borderId="10" xfId="0" applyNumberFormat="1" applyFont="1" applyFill="1" applyBorder="1" applyAlignment="1">
      <alignment horizontal="center" vertical="center"/>
    </xf>
    <xf numFmtId="1" fontId="10" fillId="26" borderId="10" xfId="0" applyNumberFormat="1" applyFont="1" applyFill="1" applyBorder="1" applyAlignment="1">
      <alignment horizontal="center" vertical="center"/>
    </xf>
    <xf numFmtId="0" fontId="0" fillId="0" borderId="10" xfId="55" applyFont="1" applyFill="1" applyBorder="1" applyAlignment="1">
      <alignment horizontal="right" vertical="center" wrapText="1"/>
      <protection/>
    </xf>
    <xf numFmtId="0" fontId="0" fillId="0" borderId="10" xfId="55" applyFont="1" applyFill="1" applyBorder="1" applyAlignment="1">
      <alignment horizontal="center" vertical="center" wrapText="1"/>
      <protection/>
    </xf>
    <xf numFmtId="2" fontId="9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" fontId="24" fillId="26" borderId="10" xfId="0" applyNumberFormat="1" applyFont="1" applyFill="1" applyBorder="1" applyAlignment="1">
      <alignment horizontal="center" vertical="center"/>
    </xf>
    <xf numFmtId="0" fontId="19" fillId="26" borderId="10" xfId="55" applyFont="1" applyFill="1" applyBorder="1" applyAlignment="1">
      <alignment horizontal="center" vertical="center"/>
      <protection/>
    </xf>
    <xf numFmtId="0" fontId="0" fillId="26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26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Fill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26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92" fontId="17" fillId="26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/>
    </xf>
    <xf numFmtId="0" fontId="17" fillId="26" borderId="10" xfId="0" applyFont="1" applyFill="1" applyBorder="1" applyAlignment="1">
      <alignment/>
    </xf>
    <xf numFmtId="2" fontId="17" fillId="0" borderId="10" xfId="55" applyNumberFormat="1" applyFont="1" applyFill="1" applyBorder="1" applyAlignment="1">
      <alignment horizontal="center"/>
      <protection/>
    </xf>
    <xf numFmtId="1" fontId="28" fillId="0" borderId="10" xfId="0" applyNumberFormat="1" applyFont="1" applyFill="1" applyBorder="1" applyAlignment="1">
      <alignment horizontal="center" vertical="top"/>
    </xf>
    <xf numFmtId="0" fontId="17" fillId="0" borderId="17" xfId="0" applyFont="1" applyBorder="1" applyAlignment="1">
      <alignment/>
    </xf>
    <xf numFmtId="0" fontId="17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" fontId="9" fillId="26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1" fontId="17" fillId="26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26" borderId="10" xfId="0" applyFont="1" applyFill="1" applyBorder="1" applyAlignment="1">
      <alignment horizontal="center" vertical="center"/>
    </xf>
    <xf numFmtId="0" fontId="17" fillId="26" borderId="10" xfId="0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66" fillId="26" borderId="10" xfId="0" applyFont="1" applyFill="1" applyBorder="1" applyAlignment="1">
      <alignment horizontal="center" vertical="center"/>
    </xf>
    <xf numFmtId="1" fontId="66" fillId="26" borderId="10" xfId="0" applyNumberFormat="1" applyFont="1" applyFill="1" applyBorder="1" applyAlignment="1">
      <alignment horizontal="center" vertical="center"/>
    </xf>
    <xf numFmtId="0" fontId="9" fillId="26" borderId="10" xfId="0" applyFont="1" applyFill="1" applyBorder="1" applyAlignment="1">
      <alignment horizontal="center" vertical="center"/>
    </xf>
    <xf numFmtId="192" fontId="9" fillId="26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0" fontId="17" fillId="27" borderId="10" xfId="0" applyFont="1" applyFill="1" applyBorder="1" applyAlignment="1">
      <alignment horizontal="center" vertical="center" wrapText="1"/>
    </xf>
    <xf numFmtId="0" fontId="17" fillId="27" borderId="10" xfId="0" applyFont="1" applyFill="1" applyBorder="1" applyAlignment="1">
      <alignment horizontal="center" vertical="center"/>
    </xf>
    <xf numFmtId="0" fontId="17" fillId="27" borderId="13" xfId="0" applyFont="1" applyFill="1" applyBorder="1" applyAlignment="1">
      <alignment horizontal="center" vertical="center" wrapText="1"/>
    </xf>
    <xf numFmtId="192" fontId="14" fillId="26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92" fontId="15" fillId="0" borderId="10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/>
    </xf>
    <xf numFmtId="192" fontId="14" fillId="0" borderId="10" xfId="0" applyNumberFormat="1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192" fontId="1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4" fillId="0" borderId="10" xfId="0" applyFont="1" applyFill="1" applyBorder="1" applyAlignment="1">
      <alignment vertical="center" wrapText="1"/>
    </xf>
    <xf numFmtId="192" fontId="14" fillId="0" borderId="1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2" fillId="26" borderId="0" xfId="0" applyFont="1" applyFill="1" applyAlignment="1">
      <alignment wrapText="1"/>
    </xf>
    <xf numFmtId="0" fontId="0" fillId="0" borderId="0" xfId="0" applyFont="1" applyAlignment="1">
      <alignment wrapText="1"/>
    </xf>
    <xf numFmtId="192" fontId="2" fillId="26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0" fillId="26" borderId="0" xfId="0" applyFont="1" applyFill="1" applyAlignment="1">
      <alignment wrapText="1"/>
    </xf>
    <xf numFmtId="0" fontId="0" fillId="0" borderId="0" xfId="0" applyFont="1" applyFill="1" applyAlignment="1">
      <alignment horizontal="left" wrapText="1"/>
    </xf>
    <xf numFmtId="1" fontId="18" fillId="0" borderId="10" xfId="0" applyNumberFormat="1" applyFont="1" applyFill="1" applyBorder="1" applyAlignment="1">
      <alignment horizontal="center" vertical="center"/>
    </xf>
    <xf numFmtId="192" fontId="18" fillId="0" borderId="10" xfId="0" applyNumberFormat="1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/>
    </xf>
    <xf numFmtId="192" fontId="18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vertical="center"/>
    </xf>
    <xf numFmtId="1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192" fontId="2" fillId="0" borderId="0" xfId="0" applyNumberFormat="1" applyFont="1" applyFill="1" applyAlignment="1">
      <alignment/>
    </xf>
    <xf numFmtId="192" fontId="0" fillId="0" borderId="0" xfId="0" applyNumberFormat="1" applyFont="1" applyFill="1" applyAlignment="1">
      <alignment/>
    </xf>
    <xf numFmtId="0" fontId="17" fillId="0" borderId="10" xfId="0" applyFont="1" applyFill="1" applyBorder="1" applyAlignment="1">
      <alignment horizontal="center"/>
    </xf>
    <xf numFmtId="192" fontId="0" fillId="0" borderId="0" xfId="0" applyNumberFormat="1" applyFont="1" applyFill="1" applyBorder="1" applyAlignment="1">
      <alignment/>
    </xf>
    <xf numFmtId="0" fontId="17" fillId="0" borderId="17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192" fontId="0" fillId="0" borderId="0" xfId="0" applyNumberFormat="1" applyFont="1" applyFill="1" applyAlignment="1">
      <alignment/>
    </xf>
    <xf numFmtId="1" fontId="9" fillId="0" borderId="10" xfId="0" applyNumberFormat="1" applyFont="1" applyFill="1" applyBorder="1" applyAlignment="1">
      <alignment horizontal="center" vertical="center"/>
    </xf>
    <xf numFmtId="192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92" fontId="2" fillId="0" borderId="10" xfId="55" applyNumberFormat="1" applyFont="1" applyFill="1" applyBorder="1" applyAlignment="1">
      <alignment horizontal="center" vertical="center"/>
      <protection/>
    </xf>
    <xf numFmtId="0" fontId="18" fillId="0" borderId="10" xfId="0" applyFont="1" applyFill="1" applyBorder="1" applyAlignment="1">
      <alignment horizontal="center" vertical="center"/>
    </xf>
    <xf numFmtId="192" fontId="0" fillId="0" borderId="10" xfId="0" applyNumberFormat="1" applyFont="1" applyFill="1" applyBorder="1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192" fontId="11" fillId="0" borderId="10" xfId="0" applyNumberFormat="1" applyFont="1" applyFill="1" applyBorder="1" applyAlignment="1">
      <alignment horizontal="center" vertical="center"/>
    </xf>
    <xf numFmtId="1" fontId="28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/>
    </xf>
    <xf numFmtId="192" fontId="12" fillId="0" borderId="10" xfId="0" applyNumberFormat="1" applyFont="1" applyFill="1" applyBorder="1" applyAlignment="1">
      <alignment horizontal="center" vertical="center"/>
    </xf>
    <xf numFmtId="192" fontId="0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192" fontId="17" fillId="0" borderId="10" xfId="0" applyNumberFormat="1" applyFont="1" applyFill="1" applyBorder="1" applyAlignment="1">
      <alignment horizontal="center" vertical="center" wrapText="1"/>
    </xf>
    <xf numFmtId="0" fontId="13" fillId="0" borderId="10" xfId="56" applyFont="1" applyFill="1" applyBorder="1" applyAlignment="1">
      <alignment horizontal="right" vertical="center"/>
      <protection/>
    </xf>
    <xf numFmtId="1" fontId="13" fillId="0" borderId="10" xfId="56" applyNumberFormat="1" applyFont="1" applyFill="1" applyBorder="1" applyAlignment="1">
      <alignment horizontal="center" vertical="center"/>
      <protection/>
    </xf>
    <xf numFmtId="1" fontId="16" fillId="0" borderId="10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192" fontId="24" fillId="0" borderId="10" xfId="0" applyNumberFormat="1" applyFont="1" applyFill="1" applyBorder="1" applyAlignment="1">
      <alignment horizontal="center" vertical="center"/>
    </xf>
    <xf numFmtId="0" fontId="13" fillId="0" borderId="10" xfId="56" applyFont="1" applyFill="1" applyBorder="1" applyAlignment="1">
      <alignment horizontal="right" vertical="center" wrapText="1"/>
      <protection/>
    </xf>
    <xf numFmtId="1" fontId="13" fillId="0" borderId="10" xfId="56" applyNumberFormat="1" applyFont="1" applyFill="1" applyBorder="1" applyAlignment="1">
      <alignment horizontal="center" vertical="center" wrapText="1"/>
      <protection/>
    </xf>
    <xf numFmtId="1" fontId="16" fillId="0" borderId="10" xfId="0" applyNumberFormat="1" applyFont="1" applyFill="1" applyBorder="1" applyAlignment="1">
      <alignment horizontal="center" vertical="center" wrapText="1"/>
    </xf>
    <xf numFmtId="192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right" vertical="center" wrapText="1"/>
    </xf>
    <xf numFmtId="192" fontId="30" fillId="2" borderId="10" xfId="0" applyNumberFormat="1" applyFont="1" applyFill="1" applyBorder="1" applyAlignment="1">
      <alignment horizontal="center" vertical="center" wrapText="1"/>
    </xf>
    <xf numFmtId="192" fontId="30" fillId="26" borderId="10" xfId="0" applyNumberFormat="1" applyFont="1" applyFill="1" applyBorder="1" applyAlignment="1">
      <alignment horizontal="center" vertical="center" wrapText="1"/>
    </xf>
    <xf numFmtId="192" fontId="17" fillId="26" borderId="10" xfId="0" applyNumberFormat="1" applyFont="1" applyFill="1" applyBorder="1" applyAlignment="1">
      <alignment horizontal="center" vertical="center" wrapText="1"/>
    </xf>
    <xf numFmtId="1" fontId="0" fillId="25" borderId="10" xfId="55" applyNumberFormat="1" applyFont="1" applyFill="1" applyBorder="1" applyAlignment="1">
      <alignment horizontal="center" vertical="center"/>
      <protection/>
    </xf>
    <xf numFmtId="192" fontId="0" fillId="0" borderId="10" xfId="0" applyNumberFormat="1" applyFont="1" applyFill="1" applyBorder="1" applyAlignment="1">
      <alignment vertical="center"/>
    </xf>
    <xf numFmtId="1" fontId="16" fillId="26" borderId="10" xfId="0" applyNumberFormat="1" applyFont="1" applyFill="1" applyBorder="1" applyAlignment="1">
      <alignment horizontal="center" vertical="center"/>
    </xf>
    <xf numFmtId="192" fontId="10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vertical="center"/>
    </xf>
    <xf numFmtId="2" fontId="17" fillId="0" borderId="10" xfId="0" applyNumberFormat="1" applyFont="1" applyFill="1" applyBorder="1" applyAlignment="1">
      <alignment horizontal="center" vertical="center"/>
    </xf>
    <xf numFmtId="192" fontId="31" fillId="0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/>
    </xf>
    <xf numFmtId="1" fontId="0" fillId="27" borderId="10" xfId="0" applyNumberFormat="1" applyFont="1" applyFill="1" applyBorder="1" applyAlignment="1">
      <alignment horizontal="center" vertical="center" wrapText="1"/>
    </xf>
    <xf numFmtId="192" fontId="17" fillId="0" borderId="10" xfId="0" applyNumberFormat="1" applyFont="1" applyFill="1" applyBorder="1" applyAlignment="1">
      <alignment horizontal="center" vertical="center"/>
    </xf>
    <xf numFmtId="192" fontId="30" fillId="26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0" fillId="26" borderId="10" xfId="0" applyNumberFormat="1" applyFont="1" applyFill="1" applyBorder="1" applyAlignment="1">
      <alignment vertical="center"/>
    </xf>
    <xf numFmtId="192" fontId="0" fillId="26" borderId="10" xfId="0" applyNumberFormat="1" applyFont="1" applyFill="1" applyBorder="1" applyAlignment="1">
      <alignment vertical="center"/>
    </xf>
    <xf numFmtId="0" fontId="0" fillId="0" borderId="10" xfId="56" applyFont="1" applyFill="1" applyBorder="1" applyAlignment="1">
      <alignment horizontal="right" vertical="center" wrapText="1"/>
      <protection/>
    </xf>
    <xf numFmtId="2" fontId="0" fillId="26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 wrapText="1"/>
    </xf>
    <xf numFmtId="0" fontId="32" fillId="26" borderId="10" xfId="0" applyFont="1" applyFill="1" applyBorder="1" applyAlignment="1">
      <alignment horizontal="center" vertical="center"/>
    </xf>
    <xf numFmtId="2" fontId="33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vertical="center"/>
    </xf>
    <xf numFmtId="0" fontId="15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6" fillId="26" borderId="10" xfId="0" applyFont="1" applyFill="1" applyBorder="1" applyAlignment="1">
      <alignment horizontal="center" vertical="center"/>
    </xf>
    <xf numFmtId="192" fontId="16" fillId="26" borderId="10" xfId="0" applyNumberFormat="1" applyFont="1" applyFill="1" applyBorder="1" applyAlignment="1">
      <alignment horizontal="center" vertical="center"/>
    </xf>
    <xf numFmtId="1" fontId="2" fillId="26" borderId="10" xfId="0" applyNumberFormat="1" applyFont="1" applyFill="1" applyBorder="1" applyAlignment="1">
      <alignment horizontal="center" vertical="center" wrapText="1"/>
    </xf>
    <xf numFmtId="192" fontId="2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" fontId="3" fillId="26" borderId="10" xfId="0" applyNumberFormat="1" applyFont="1" applyFill="1" applyBorder="1" applyAlignment="1">
      <alignment horizontal="center" vertical="center"/>
    </xf>
    <xf numFmtId="2" fontId="20" fillId="26" borderId="10" xfId="0" applyNumberFormat="1" applyFont="1" applyFill="1" applyBorder="1" applyAlignment="1">
      <alignment horizontal="center" vertical="center"/>
    </xf>
    <xf numFmtId="1" fontId="34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2" fontId="17" fillId="26" borderId="10" xfId="0" applyNumberFormat="1" applyFont="1" applyFill="1" applyBorder="1" applyAlignment="1">
      <alignment horizontal="center" vertical="center"/>
    </xf>
    <xf numFmtId="2" fontId="9" fillId="26" borderId="10" xfId="0" applyNumberFormat="1" applyFont="1" applyFill="1" applyBorder="1" applyAlignment="1">
      <alignment horizontal="center" vertical="center"/>
    </xf>
    <xf numFmtId="2" fontId="31" fillId="0" borderId="10" xfId="0" applyNumberFormat="1" applyFont="1" applyFill="1" applyBorder="1" applyAlignment="1">
      <alignment vertical="center" wrapText="1"/>
    </xf>
    <xf numFmtId="0" fontId="0" fillId="27" borderId="10" xfId="0" applyFont="1" applyFill="1" applyBorder="1" applyAlignment="1">
      <alignment horizontal="right" vertical="center"/>
    </xf>
    <xf numFmtId="0" fontId="2" fillId="26" borderId="10" xfId="0" applyFont="1" applyFill="1" applyBorder="1" applyAlignment="1">
      <alignment horizontal="center" vertical="center" wrapText="1"/>
    </xf>
    <xf numFmtId="1" fontId="32" fillId="0" borderId="10" xfId="0" applyNumberFormat="1" applyFont="1" applyFill="1" applyBorder="1" applyAlignment="1">
      <alignment horizontal="center" vertical="center" wrapText="1"/>
    </xf>
    <xf numFmtId="192" fontId="14" fillId="0" borderId="10" xfId="0" applyNumberFormat="1" applyFont="1" applyFill="1" applyBorder="1" applyAlignment="1">
      <alignment vertical="center"/>
    </xf>
    <xf numFmtId="192" fontId="14" fillId="26" borderId="10" xfId="0" applyNumberFormat="1" applyFont="1" applyFill="1" applyBorder="1" applyAlignment="1">
      <alignment horizontal="center" vertical="center"/>
    </xf>
    <xf numFmtId="192" fontId="14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right" vertical="center"/>
    </xf>
    <xf numFmtId="2" fontId="14" fillId="26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26" borderId="10" xfId="0" applyFont="1" applyFill="1" applyBorder="1" applyAlignment="1">
      <alignment vertical="center"/>
    </xf>
    <xf numFmtId="1" fontId="0" fillId="26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2" fontId="15" fillId="26" borderId="10" xfId="0" applyNumberFormat="1" applyFont="1" applyFill="1" applyBorder="1" applyAlignment="1">
      <alignment horizontal="center" vertical="center" wrapText="1"/>
    </xf>
    <xf numFmtId="1" fontId="13" fillId="26" borderId="10" xfId="56" applyNumberFormat="1" applyFont="1" applyFill="1" applyBorder="1" applyAlignment="1">
      <alignment horizontal="center" vertical="center"/>
      <protection/>
    </xf>
    <xf numFmtId="0" fontId="13" fillId="26" borderId="10" xfId="56" applyFont="1" applyFill="1" applyBorder="1" applyAlignment="1">
      <alignment horizontal="right" vertical="center"/>
      <protection/>
    </xf>
    <xf numFmtId="1" fontId="0" fillId="0" borderId="10" xfId="0" applyNumberFormat="1" applyFont="1" applyFill="1" applyBorder="1" applyAlignment="1">
      <alignment horizontal="left" vertical="center"/>
    </xf>
    <xf numFmtId="192" fontId="0" fillId="0" borderId="10" xfId="0" applyNumberFormat="1" applyFont="1" applyFill="1" applyBorder="1" applyAlignment="1">
      <alignment horizontal="left" vertical="center"/>
    </xf>
    <xf numFmtId="2" fontId="9" fillId="26" borderId="10" xfId="0" applyNumberFormat="1" applyFont="1" applyFill="1" applyBorder="1" applyAlignment="1">
      <alignment horizontal="left" vertical="center" wrapText="1"/>
    </xf>
    <xf numFmtId="2" fontId="9" fillId="0" borderId="10" xfId="0" applyNumberFormat="1" applyFont="1" applyFill="1" applyBorder="1" applyAlignment="1">
      <alignment horizontal="left" vertical="center" wrapText="1"/>
    </xf>
    <xf numFmtId="192" fontId="13" fillId="0" borderId="10" xfId="56" applyNumberFormat="1" applyFont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21" fillId="0" borderId="18" xfId="0" applyFont="1" applyFill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10" xfId="0" applyFill="1" applyBorder="1" applyAlignment="1">
      <alignment/>
    </xf>
    <xf numFmtId="0" fontId="21" fillId="0" borderId="20" xfId="0" applyFont="1" applyFill="1" applyBorder="1" applyAlignment="1">
      <alignment horizontal="center" vertical="center" wrapText="1"/>
    </xf>
    <xf numFmtId="9" fontId="21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1" fontId="22" fillId="0" borderId="21" xfId="0" applyNumberFormat="1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1" fontId="21" fillId="0" borderId="21" xfId="0" applyNumberFormat="1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 wrapText="1"/>
    </xf>
    <xf numFmtId="1" fontId="21" fillId="0" borderId="23" xfId="0" applyNumberFormat="1" applyFont="1" applyFill="1" applyBorder="1" applyAlignment="1">
      <alignment horizontal="center" vertical="center"/>
    </xf>
    <xf numFmtId="1" fontId="21" fillId="0" borderId="2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2" fontId="0" fillId="0" borderId="0" xfId="0" applyNumberFormat="1" applyAlignment="1">
      <alignment/>
    </xf>
    <xf numFmtId="0" fontId="0" fillId="26" borderId="10" xfId="0" applyFont="1" applyFill="1" applyBorder="1" applyAlignment="1">
      <alignment horizontal="right" vertical="center"/>
    </xf>
    <xf numFmtId="0" fontId="0" fillId="26" borderId="10" xfId="0" applyFont="1" applyFill="1" applyBorder="1" applyAlignment="1">
      <alignment horizontal="right" vertical="center" wrapText="1"/>
    </xf>
    <xf numFmtId="1" fontId="0" fillId="26" borderId="10" xfId="0" applyNumberFormat="1" applyFont="1" applyFill="1" applyBorder="1" applyAlignment="1" applyProtection="1">
      <alignment horizontal="center" vertical="center"/>
      <protection/>
    </xf>
    <xf numFmtId="1" fontId="0" fillId="26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 wrapText="1"/>
    </xf>
    <xf numFmtId="192" fontId="11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1" fillId="28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right" vertical="center" wrapText="1"/>
    </xf>
    <xf numFmtId="0" fontId="12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1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26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6" fillId="26" borderId="10" xfId="0" applyFont="1" applyFill="1" applyBorder="1" applyAlignment="1">
      <alignment horizontal="center" vertical="center" wrapText="1"/>
    </xf>
    <xf numFmtId="0" fontId="2" fillId="0" borderId="10" xfId="55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left" vertical="center"/>
    </xf>
    <xf numFmtId="0" fontId="2" fillId="26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right" vertical="center" wrapText="1"/>
    </xf>
    <xf numFmtId="0" fontId="2" fillId="0" borderId="10" xfId="55" applyFont="1" applyFill="1" applyBorder="1" applyAlignment="1">
      <alignment horizontal="left" vertical="center"/>
      <protection/>
    </xf>
    <xf numFmtId="0" fontId="11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92" fontId="17" fillId="0" borderId="10" xfId="0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22" fillId="0" borderId="26" xfId="0" applyNumberFormat="1" applyFont="1" applyFill="1" applyBorder="1" applyAlignment="1">
      <alignment horizontal="center" vertical="center" wrapText="1"/>
    </xf>
    <xf numFmtId="49" fontId="22" fillId="0" borderId="2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3" fillId="0" borderId="0" xfId="0" applyFont="1" applyFill="1" applyAlignment="1">
      <alignment horizontal="center" vertical="center" wrapText="1"/>
    </xf>
    <xf numFmtId="0" fontId="21" fillId="26" borderId="10" xfId="0" applyFont="1" applyFill="1" applyBorder="1" applyAlignment="1">
      <alignment horizontal="center" vertical="center" wrapText="1"/>
    </xf>
    <xf numFmtId="0" fontId="9" fillId="26" borderId="13" xfId="0" applyFont="1" applyFill="1" applyBorder="1" applyAlignment="1">
      <alignment horizontal="center" vertical="center" wrapText="1"/>
    </xf>
    <xf numFmtId="0" fontId="9" fillId="26" borderId="14" xfId="0" applyFont="1" applyFill="1" applyBorder="1" applyAlignment="1">
      <alignment horizontal="center" vertical="center" wrapText="1"/>
    </xf>
    <xf numFmtId="0" fontId="9" fillId="26" borderId="15" xfId="0" applyFont="1" applyFill="1" applyBorder="1" applyAlignment="1">
      <alignment horizontal="center" vertical="center" wrapText="1"/>
    </xf>
    <xf numFmtId="0" fontId="9" fillId="26" borderId="10" xfId="0" applyFont="1" applyFill="1" applyBorder="1" applyAlignment="1">
      <alignment horizontal="center" vertical="center" wrapText="1"/>
    </xf>
    <xf numFmtId="0" fontId="9" fillId="26" borderId="25" xfId="0" applyFont="1" applyFill="1" applyBorder="1" applyAlignment="1">
      <alignment horizontal="center" vertical="center" wrapText="1"/>
    </xf>
    <xf numFmtId="0" fontId="9" fillId="26" borderId="12" xfId="0" applyFont="1" applyFill="1" applyBorder="1" applyAlignment="1">
      <alignment horizontal="center" vertical="center" wrapText="1"/>
    </xf>
    <xf numFmtId="0" fontId="14" fillId="26" borderId="16" xfId="0" applyFont="1" applyFill="1" applyBorder="1" applyAlignment="1">
      <alignment horizontal="left" vertical="top" wrapText="1"/>
    </xf>
    <xf numFmtId="0" fontId="3" fillId="26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2" fillId="26" borderId="10" xfId="0" applyFont="1" applyFill="1" applyBorder="1" applyAlignment="1">
      <alignment horizontal="left" vertical="center" wrapText="1"/>
    </xf>
    <xf numFmtId="0" fontId="16" fillId="26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Лист1" xfId="55"/>
    <cellStyle name="Обычный_Лист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84"/>
  <sheetViews>
    <sheetView view="pageBreakPreview" zoomScaleNormal="80" zoomScaleSheetLayoutView="100" zoomScalePageLayoutView="0" workbookViewId="0" topLeftCell="A1">
      <selection activeCell="A1048" sqref="A1:I1048"/>
    </sheetView>
  </sheetViews>
  <sheetFormatPr defaultColWidth="9.140625" defaultRowHeight="30" customHeight="1" outlineLevelCol="1"/>
  <cols>
    <col min="1" max="1" width="58.57421875" style="174" customWidth="1"/>
    <col min="2" max="2" width="10.00390625" style="175" customWidth="1"/>
    <col min="3" max="3" width="9.57421875" style="175" customWidth="1"/>
    <col min="4" max="4" width="10.7109375" style="220" customWidth="1"/>
    <col min="5" max="7" width="10.7109375" style="340" customWidth="1"/>
    <col min="8" max="8" width="12.8515625" style="175" customWidth="1"/>
    <col min="9" max="9" width="11.7109375" style="255" customWidth="1"/>
    <col min="10" max="10" width="9.140625" style="61" customWidth="1"/>
    <col min="11" max="11" width="9.140625" style="312" hidden="1" customWidth="1" outlineLevel="1"/>
    <col min="12" max="12" width="9.140625" style="61" hidden="1" customWidth="1" outlineLevel="1"/>
    <col min="13" max="13" width="9.140625" style="61" customWidth="1" collapsed="1"/>
    <col min="14" max="16384" width="9.140625" style="61" customWidth="1"/>
  </cols>
  <sheetData>
    <row r="1" spans="1:9" ht="45" customHeight="1">
      <c r="A1" s="490" t="s">
        <v>198</v>
      </c>
      <c r="B1" s="490"/>
      <c r="C1" s="490"/>
      <c r="D1" s="490"/>
      <c r="E1" s="490"/>
      <c r="F1" s="490"/>
      <c r="G1" s="490"/>
      <c r="H1" s="490"/>
      <c r="I1" s="490"/>
    </row>
    <row r="2" spans="1:9" ht="30" customHeight="1">
      <c r="A2" s="491" t="s">
        <v>199</v>
      </c>
      <c r="B2" s="491"/>
      <c r="C2" s="491"/>
      <c r="D2" s="491"/>
      <c r="E2" s="491"/>
      <c r="F2" s="491"/>
      <c r="G2" s="491"/>
      <c r="H2" s="493"/>
      <c r="I2" s="491"/>
    </row>
    <row r="3" spans="1:9" ht="30" customHeight="1">
      <c r="A3" s="491" t="s">
        <v>448</v>
      </c>
      <c r="B3" s="491"/>
      <c r="C3" s="491"/>
      <c r="D3" s="491"/>
      <c r="E3" s="491"/>
      <c r="F3" s="491"/>
      <c r="G3" s="491"/>
      <c r="H3" s="491"/>
      <c r="I3" s="491"/>
    </row>
    <row r="4" spans="1:9" ht="60" customHeight="1">
      <c r="A4" s="492" t="s">
        <v>369</v>
      </c>
      <c r="B4" s="492"/>
      <c r="C4" s="492"/>
      <c r="D4" s="492"/>
      <c r="E4" s="492"/>
      <c r="F4" s="492"/>
      <c r="G4" s="492"/>
      <c r="H4" s="492"/>
      <c r="I4" s="492"/>
    </row>
    <row r="5" spans="1:11" s="9" customFormat="1" ht="30" customHeight="1">
      <c r="A5" s="478" t="s">
        <v>68</v>
      </c>
      <c r="B5" s="478"/>
      <c r="C5" s="478"/>
      <c r="D5" s="478"/>
      <c r="E5" s="478"/>
      <c r="F5" s="478"/>
      <c r="G5" s="478"/>
      <c r="H5" s="478"/>
      <c r="I5" s="478"/>
      <c r="K5" s="313"/>
    </row>
    <row r="6" spans="1:11" s="9" customFormat="1" ht="30" customHeight="1">
      <c r="A6" s="470" t="s">
        <v>0</v>
      </c>
      <c r="B6" s="471" t="s">
        <v>6</v>
      </c>
      <c r="C6" s="471" t="s">
        <v>7</v>
      </c>
      <c r="D6" s="470" t="s">
        <v>5</v>
      </c>
      <c r="E6" s="470"/>
      <c r="F6" s="470"/>
      <c r="G6" s="470"/>
      <c r="H6" s="470"/>
      <c r="I6" s="470"/>
      <c r="K6" s="313"/>
    </row>
    <row r="7" spans="1:12" s="2" customFormat="1" ht="30" customHeight="1">
      <c r="A7" s="470"/>
      <c r="B7" s="471"/>
      <c r="C7" s="471"/>
      <c r="D7" s="135" t="s">
        <v>8</v>
      </c>
      <c r="E7" s="281" t="s">
        <v>1</v>
      </c>
      <c r="F7" s="281" t="s">
        <v>2</v>
      </c>
      <c r="G7" s="281" t="s">
        <v>9</v>
      </c>
      <c r="H7" s="280" t="s">
        <v>3</v>
      </c>
      <c r="I7" s="282" t="s">
        <v>190</v>
      </c>
      <c r="J7" s="9"/>
      <c r="K7" s="314" t="s">
        <v>40</v>
      </c>
      <c r="L7" s="9"/>
    </row>
    <row r="8" spans="1:12" s="9" customFormat="1" ht="30" customHeight="1">
      <c r="A8" s="485" t="s">
        <v>105</v>
      </c>
      <c r="B8" s="485"/>
      <c r="C8" s="485"/>
      <c r="D8" s="245">
        <f>40+D12+D30+D38</f>
        <v>565</v>
      </c>
      <c r="E8" s="99">
        <f>E9+E12+E30+E39+E38</f>
        <v>23.799999999999997</v>
      </c>
      <c r="F8" s="99">
        <f>F9+F12+F30+F39+F38</f>
        <v>24.299999999999997</v>
      </c>
      <c r="G8" s="99">
        <f>G9+G12+G30+G39+G38</f>
        <v>63.099999999999994</v>
      </c>
      <c r="H8" s="99">
        <f>H9+H12+H30+H39+H38</f>
        <v>565.4</v>
      </c>
      <c r="I8" s="254"/>
      <c r="K8" s="301" t="s">
        <v>26</v>
      </c>
      <c r="L8" s="9">
        <f>D99+C39</f>
        <v>60</v>
      </c>
    </row>
    <row r="9" spans="1:12" s="1" customFormat="1" ht="30" customHeight="1">
      <c r="A9" s="146" t="s">
        <v>313</v>
      </c>
      <c r="B9" s="36"/>
      <c r="C9" s="21"/>
      <c r="D9" s="274" t="s">
        <v>117</v>
      </c>
      <c r="E9" s="44">
        <v>1.9</v>
      </c>
      <c r="F9" s="44">
        <v>0.4</v>
      </c>
      <c r="G9" s="44">
        <v>27.7</v>
      </c>
      <c r="H9" s="43">
        <f>G9*4+F9*9+E9*4</f>
        <v>121.99999999999999</v>
      </c>
      <c r="I9" s="223" t="s">
        <v>314</v>
      </c>
      <c r="J9" s="9"/>
      <c r="K9" s="301" t="s">
        <v>126</v>
      </c>
      <c r="L9" s="17">
        <f>D97+C10</f>
        <v>60</v>
      </c>
    </row>
    <row r="10" spans="1:12" s="9" customFormat="1" ht="30" customHeight="1">
      <c r="A10" s="56" t="s">
        <v>128</v>
      </c>
      <c r="B10" s="36">
        <v>20</v>
      </c>
      <c r="C10" s="36">
        <v>20</v>
      </c>
      <c r="D10" s="276"/>
      <c r="E10" s="44"/>
      <c r="F10" s="44"/>
      <c r="G10" s="44"/>
      <c r="H10" s="43"/>
      <c r="I10" s="201"/>
      <c r="K10" s="301" t="s">
        <v>155</v>
      </c>
      <c r="L10" s="17"/>
    </row>
    <row r="11" spans="1:12" ht="30" customHeight="1">
      <c r="A11" s="56" t="s">
        <v>315</v>
      </c>
      <c r="B11" s="36">
        <v>20.4</v>
      </c>
      <c r="C11" s="36">
        <v>20</v>
      </c>
      <c r="D11" s="36"/>
      <c r="E11" s="109"/>
      <c r="F11" s="109"/>
      <c r="G11" s="109"/>
      <c r="H11" s="109"/>
      <c r="I11" s="341"/>
      <c r="K11" s="301" t="s">
        <v>66</v>
      </c>
      <c r="L11" s="62">
        <f>C65</f>
        <v>10</v>
      </c>
    </row>
    <row r="12" spans="1:12" s="9" customFormat="1" ht="30" customHeight="1">
      <c r="A12" s="476" t="s">
        <v>370</v>
      </c>
      <c r="B12" s="482"/>
      <c r="C12" s="482"/>
      <c r="D12" s="23">
        <v>200</v>
      </c>
      <c r="E12" s="44">
        <v>16.8</v>
      </c>
      <c r="F12" s="44">
        <v>18.9</v>
      </c>
      <c r="G12" s="44">
        <v>4.6</v>
      </c>
      <c r="H12" s="43">
        <f>G12*4+F12*9+E12*4</f>
        <v>255.7</v>
      </c>
      <c r="I12" s="256" t="s">
        <v>266</v>
      </c>
      <c r="K12" s="301" t="s">
        <v>65</v>
      </c>
      <c r="L12" s="62"/>
    </row>
    <row r="13" spans="1:12" s="9" customFormat="1" ht="30" customHeight="1">
      <c r="A13" s="53" t="s">
        <v>84</v>
      </c>
      <c r="B13" s="37">
        <v>125</v>
      </c>
      <c r="C13" s="37">
        <v>125</v>
      </c>
      <c r="D13" s="36"/>
      <c r="E13" s="95"/>
      <c r="F13" s="95"/>
      <c r="G13" s="95"/>
      <c r="H13" s="95"/>
      <c r="I13" s="254"/>
      <c r="K13" s="301" t="s">
        <v>27</v>
      </c>
      <c r="L13" s="17">
        <f>C61+C42+C84</f>
        <v>194</v>
      </c>
    </row>
    <row r="14" spans="1:13" s="9" customFormat="1" ht="30" customHeight="1">
      <c r="A14" s="53" t="s">
        <v>52</v>
      </c>
      <c r="B14" s="37">
        <v>47</v>
      </c>
      <c r="C14" s="37">
        <v>47</v>
      </c>
      <c r="D14" s="36"/>
      <c r="E14" s="41"/>
      <c r="F14" s="41"/>
      <c r="G14" s="41"/>
      <c r="H14" s="36"/>
      <c r="I14" s="255"/>
      <c r="J14" s="61"/>
      <c r="K14" s="301" t="s">
        <v>201</v>
      </c>
      <c r="L14" s="62">
        <f>C47+C50+C53+C54+C68+C66+C71+C76+C78+C79+C23+C60+C89</f>
        <v>181.075</v>
      </c>
      <c r="M14" s="61"/>
    </row>
    <row r="15" spans="1:12" s="9" customFormat="1" ht="30" customHeight="1">
      <c r="A15" s="58" t="s">
        <v>38</v>
      </c>
      <c r="B15" s="89">
        <f>B14*460/1000</f>
        <v>21.62</v>
      </c>
      <c r="C15" s="89">
        <f>C14*460/1000</f>
        <v>21.62</v>
      </c>
      <c r="D15" s="136"/>
      <c r="E15" s="44"/>
      <c r="F15" s="44"/>
      <c r="G15" s="44"/>
      <c r="H15" s="43"/>
      <c r="I15" s="255"/>
      <c r="K15" s="301" t="s">
        <v>28</v>
      </c>
      <c r="L15" s="9">
        <f>D100</f>
        <v>160</v>
      </c>
    </row>
    <row r="16" spans="1:12" s="1" customFormat="1" ht="30" customHeight="1">
      <c r="A16" s="58" t="s">
        <v>39</v>
      </c>
      <c r="B16" s="89">
        <f>B14*120/1000</f>
        <v>5.64</v>
      </c>
      <c r="C16" s="89">
        <f>C14*120/1000</f>
        <v>5.64</v>
      </c>
      <c r="D16" s="136"/>
      <c r="E16" s="44"/>
      <c r="F16" s="44"/>
      <c r="G16" s="44"/>
      <c r="H16" s="43"/>
      <c r="I16" s="254"/>
      <c r="J16" s="9"/>
      <c r="K16" s="301" t="s">
        <v>170</v>
      </c>
      <c r="L16" s="17"/>
    </row>
    <row r="17" spans="1:12" s="9" customFormat="1" ht="30" customHeight="1">
      <c r="A17" s="181" t="s">
        <v>149</v>
      </c>
      <c r="B17" s="182">
        <f>B14-B15</f>
        <v>25.38</v>
      </c>
      <c r="C17" s="182">
        <f>C14-C15</f>
        <v>25.38</v>
      </c>
      <c r="D17" s="183"/>
      <c r="E17" s="184"/>
      <c r="F17" s="184"/>
      <c r="G17" s="184"/>
      <c r="H17" s="246"/>
      <c r="I17" s="254"/>
      <c r="K17" s="301" t="s">
        <v>202</v>
      </c>
      <c r="L17" s="17">
        <f>C32+C82</f>
        <v>16</v>
      </c>
    </row>
    <row r="18" spans="1:12" s="9" customFormat="1" ht="30" customHeight="1">
      <c r="A18" s="181" t="s">
        <v>150</v>
      </c>
      <c r="B18" s="182">
        <f>B14-B16</f>
        <v>41.36</v>
      </c>
      <c r="C18" s="182">
        <f>C14-C16</f>
        <v>41.36</v>
      </c>
      <c r="D18" s="183"/>
      <c r="E18" s="184"/>
      <c r="F18" s="184"/>
      <c r="G18" s="184"/>
      <c r="H18" s="246"/>
      <c r="I18" s="254"/>
      <c r="K18" s="301" t="s">
        <v>357</v>
      </c>
      <c r="L18" s="1">
        <f>B92</f>
        <v>200</v>
      </c>
    </row>
    <row r="19" spans="1:12" s="9" customFormat="1" ht="30" customHeight="1">
      <c r="A19" s="53" t="s">
        <v>11</v>
      </c>
      <c r="B19" s="36">
        <v>3</v>
      </c>
      <c r="C19" s="36">
        <v>3</v>
      </c>
      <c r="D19" s="36"/>
      <c r="E19" s="95"/>
      <c r="F19" s="95"/>
      <c r="G19" s="95"/>
      <c r="H19" s="276"/>
      <c r="I19" s="254"/>
      <c r="K19" s="315" t="s">
        <v>29</v>
      </c>
      <c r="L19" s="1">
        <f>C11</f>
        <v>20</v>
      </c>
    </row>
    <row r="20" spans="1:12" ht="30" customHeight="1">
      <c r="A20" s="53" t="s">
        <v>113</v>
      </c>
      <c r="B20" s="36"/>
      <c r="C20" s="36">
        <v>165</v>
      </c>
      <c r="D20" s="36"/>
      <c r="E20" s="95"/>
      <c r="F20" s="95"/>
      <c r="G20" s="95"/>
      <c r="H20" s="276"/>
      <c r="I20" s="254"/>
      <c r="J20" s="15"/>
      <c r="K20" s="301" t="s">
        <v>70</v>
      </c>
      <c r="L20" s="63"/>
    </row>
    <row r="21" spans="1:12" ht="30" customHeight="1">
      <c r="A21" s="53" t="s">
        <v>37</v>
      </c>
      <c r="B21" s="36">
        <v>5</v>
      </c>
      <c r="C21" s="36">
        <v>5</v>
      </c>
      <c r="D21" s="36"/>
      <c r="E21" s="95"/>
      <c r="F21" s="95"/>
      <c r="G21" s="44"/>
      <c r="H21" s="274"/>
      <c r="I21" s="254"/>
      <c r="J21" s="15"/>
      <c r="K21" s="301" t="s">
        <v>182</v>
      </c>
      <c r="L21" s="63"/>
    </row>
    <row r="22" spans="1:12" ht="30" customHeight="1">
      <c r="A22" s="121" t="s">
        <v>267</v>
      </c>
      <c r="B22" s="36"/>
      <c r="C22" s="36">
        <v>30</v>
      </c>
      <c r="D22" s="23"/>
      <c r="E22" s="95"/>
      <c r="F22" s="95"/>
      <c r="G22" s="44"/>
      <c r="H22" s="274"/>
      <c r="I22" s="256" t="s">
        <v>269</v>
      </c>
      <c r="J22" s="15"/>
      <c r="K22" s="301" t="s">
        <v>183</v>
      </c>
      <c r="L22" s="9">
        <f>C31</f>
        <v>4</v>
      </c>
    </row>
    <row r="23" spans="1:12" s="9" customFormat="1" ht="30" customHeight="1">
      <c r="A23" s="57" t="s">
        <v>50</v>
      </c>
      <c r="B23" s="49">
        <f>C23*1.54</f>
        <v>46.2</v>
      </c>
      <c r="C23" s="150">
        <v>30</v>
      </c>
      <c r="D23" s="150"/>
      <c r="E23" s="108"/>
      <c r="F23" s="108"/>
      <c r="G23" s="108"/>
      <c r="H23" s="88"/>
      <c r="I23" s="254"/>
      <c r="J23" s="15"/>
      <c r="K23" s="316" t="s">
        <v>30</v>
      </c>
      <c r="L23" s="6"/>
    </row>
    <row r="24" spans="1:12" s="9" customFormat="1" ht="30" customHeight="1">
      <c r="A24" s="57" t="s">
        <v>350</v>
      </c>
      <c r="B24" s="49">
        <f>C24*1.05</f>
        <v>31.5</v>
      </c>
      <c r="C24" s="150">
        <v>30</v>
      </c>
      <c r="D24" s="150"/>
      <c r="E24" s="108"/>
      <c r="F24" s="108"/>
      <c r="G24" s="108"/>
      <c r="H24" s="88"/>
      <c r="I24" s="254"/>
      <c r="J24" s="15"/>
      <c r="K24" s="301" t="s">
        <v>172</v>
      </c>
      <c r="L24" s="6">
        <f>C58</f>
        <v>16</v>
      </c>
    </row>
    <row r="25" spans="1:12" s="9" customFormat="1" ht="30" customHeight="1">
      <c r="A25" s="151" t="s">
        <v>114</v>
      </c>
      <c r="B25" s="49">
        <f>C25*1.67</f>
        <v>50.099999999999994</v>
      </c>
      <c r="C25" s="150">
        <v>30</v>
      </c>
      <c r="D25" s="150"/>
      <c r="E25" s="108"/>
      <c r="F25" s="108"/>
      <c r="G25" s="108"/>
      <c r="H25" s="88"/>
      <c r="I25" s="254"/>
      <c r="J25" s="15"/>
      <c r="K25" s="301" t="s">
        <v>174</v>
      </c>
      <c r="L25" s="72"/>
    </row>
    <row r="26" spans="1:12" s="9" customFormat="1" ht="30" customHeight="1">
      <c r="A26" s="468" t="s">
        <v>69</v>
      </c>
      <c r="B26" s="468"/>
      <c r="C26" s="468"/>
      <c r="D26" s="468"/>
      <c r="E26" s="468"/>
      <c r="F26" s="468"/>
      <c r="G26" s="468"/>
      <c r="H26" s="468"/>
      <c r="I26" s="468"/>
      <c r="J26" s="15"/>
      <c r="K26" s="301" t="s">
        <v>173</v>
      </c>
      <c r="L26" s="72"/>
    </row>
    <row r="27" spans="1:12" s="9" customFormat="1" ht="30" customHeight="1">
      <c r="A27" s="476" t="s">
        <v>359</v>
      </c>
      <c r="B27" s="476"/>
      <c r="C27" s="476"/>
      <c r="D27" s="26">
        <v>30</v>
      </c>
      <c r="E27" s="45"/>
      <c r="F27" s="45"/>
      <c r="G27" s="45"/>
      <c r="H27" s="43"/>
      <c r="I27" s="226" t="s">
        <v>358</v>
      </c>
      <c r="J27" s="15"/>
      <c r="K27" s="301" t="s">
        <v>175</v>
      </c>
      <c r="L27" s="72">
        <f>C73</f>
        <v>111</v>
      </c>
    </row>
    <row r="28" spans="1:12" ht="30" customHeight="1">
      <c r="A28" s="56" t="s">
        <v>337</v>
      </c>
      <c r="B28" s="41">
        <f>C28*1.05</f>
        <v>36.75</v>
      </c>
      <c r="C28" s="36">
        <v>35</v>
      </c>
      <c r="D28" s="36"/>
      <c r="E28" s="41"/>
      <c r="F28" s="41"/>
      <c r="G28" s="41"/>
      <c r="H28" s="37"/>
      <c r="I28" s="263"/>
      <c r="J28" s="70"/>
      <c r="K28" s="305" t="s">
        <v>80</v>
      </c>
      <c r="L28" s="72">
        <f>C14+C33</f>
        <v>97</v>
      </c>
    </row>
    <row r="29" spans="1:12" ht="30" customHeight="1">
      <c r="A29" s="56" t="s">
        <v>354</v>
      </c>
      <c r="B29" s="41">
        <f>C29*1.05</f>
        <v>36.75</v>
      </c>
      <c r="C29" s="36">
        <v>35</v>
      </c>
      <c r="D29" s="36"/>
      <c r="E29" s="41"/>
      <c r="F29" s="41"/>
      <c r="G29" s="41"/>
      <c r="H29" s="37"/>
      <c r="I29" s="263"/>
      <c r="J29" s="70"/>
      <c r="K29" s="307" t="s">
        <v>176</v>
      </c>
      <c r="L29" s="72">
        <f>C38</f>
        <v>125</v>
      </c>
    </row>
    <row r="30" spans="1:12" ht="30" customHeight="1">
      <c r="A30" s="483" t="s">
        <v>257</v>
      </c>
      <c r="B30" s="483"/>
      <c r="C30" s="483"/>
      <c r="D30" s="23">
        <v>200</v>
      </c>
      <c r="E30" s="44">
        <v>1.9</v>
      </c>
      <c r="F30" s="44">
        <v>1.7</v>
      </c>
      <c r="G30" s="44">
        <v>17</v>
      </c>
      <c r="H30" s="43">
        <f>G30*4+F30*9+E30*4</f>
        <v>90.89999999999999</v>
      </c>
      <c r="I30" s="231" t="s">
        <v>258</v>
      </c>
      <c r="J30" s="15"/>
      <c r="K30" s="301" t="s">
        <v>177</v>
      </c>
      <c r="L30" s="72"/>
    </row>
    <row r="31" spans="1:12" s="9" customFormat="1" ht="30" customHeight="1">
      <c r="A31" s="53" t="s">
        <v>107</v>
      </c>
      <c r="B31" s="36">
        <v>4</v>
      </c>
      <c r="C31" s="36">
        <v>4</v>
      </c>
      <c r="D31" s="36"/>
      <c r="E31" s="95"/>
      <c r="F31" s="95"/>
      <c r="G31" s="95"/>
      <c r="H31" s="276"/>
      <c r="I31" s="254"/>
      <c r="J31" s="15"/>
      <c r="K31" s="301" t="s">
        <v>31</v>
      </c>
      <c r="L31" s="6">
        <f>C70</f>
        <v>5</v>
      </c>
    </row>
    <row r="32" spans="1:12" s="9" customFormat="1" ht="30" customHeight="1">
      <c r="A32" s="53" t="s">
        <v>4</v>
      </c>
      <c r="B32" s="29">
        <v>15</v>
      </c>
      <c r="C32" s="29">
        <v>15</v>
      </c>
      <c r="D32" s="29"/>
      <c r="E32" s="95"/>
      <c r="F32" s="95"/>
      <c r="G32" s="95"/>
      <c r="H32" s="276"/>
      <c r="I32" s="254"/>
      <c r="J32" s="15"/>
      <c r="K32" s="301" t="s">
        <v>178</v>
      </c>
      <c r="L32" s="1"/>
    </row>
    <row r="33" spans="1:13" s="9" customFormat="1" ht="30" customHeight="1">
      <c r="A33" s="53" t="s">
        <v>52</v>
      </c>
      <c r="B33" s="36">
        <v>50</v>
      </c>
      <c r="C33" s="36">
        <v>50</v>
      </c>
      <c r="D33" s="36"/>
      <c r="E33" s="41"/>
      <c r="F33" s="41"/>
      <c r="G33" s="41"/>
      <c r="H33" s="36"/>
      <c r="I33" s="255"/>
      <c r="J33" s="70"/>
      <c r="K33" s="301" t="s">
        <v>32</v>
      </c>
      <c r="L33" s="6">
        <f>C69+C21+C90</f>
        <v>15</v>
      </c>
      <c r="M33" s="61"/>
    </row>
    <row r="34" spans="1:12" s="9" customFormat="1" ht="30" customHeight="1">
      <c r="A34" s="58" t="s">
        <v>38</v>
      </c>
      <c r="B34" s="89">
        <f>B33*460/1000</f>
        <v>23</v>
      </c>
      <c r="C34" s="89">
        <f>C33*460/1000</f>
        <v>23</v>
      </c>
      <c r="D34" s="136"/>
      <c r="E34" s="44"/>
      <c r="F34" s="44"/>
      <c r="G34" s="44"/>
      <c r="H34" s="43"/>
      <c r="I34" s="255"/>
      <c r="J34" s="15"/>
      <c r="K34" s="301" t="s">
        <v>33</v>
      </c>
      <c r="L34" s="334">
        <f>C81+C19+C56</f>
        <v>11</v>
      </c>
    </row>
    <row r="35" spans="1:12" s="9" customFormat="1" ht="30" customHeight="1">
      <c r="A35" s="58" t="s">
        <v>39</v>
      </c>
      <c r="B35" s="89">
        <f>B33*120/1000</f>
        <v>6</v>
      </c>
      <c r="C35" s="89">
        <f>C33*120/1000</f>
        <v>6</v>
      </c>
      <c r="D35" s="136"/>
      <c r="E35" s="44"/>
      <c r="F35" s="44"/>
      <c r="G35" s="44"/>
      <c r="H35" s="43"/>
      <c r="I35" s="255"/>
      <c r="J35" s="15"/>
      <c r="K35" s="301" t="s">
        <v>179</v>
      </c>
      <c r="L35" s="6">
        <f>C13</f>
        <v>125</v>
      </c>
    </row>
    <row r="36" spans="1:12" s="9" customFormat="1" ht="30" customHeight="1">
      <c r="A36" s="181" t="s">
        <v>149</v>
      </c>
      <c r="B36" s="182">
        <f>B33-B34</f>
        <v>27</v>
      </c>
      <c r="C36" s="182">
        <f>C33-C34</f>
        <v>27</v>
      </c>
      <c r="D36" s="183"/>
      <c r="E36" s="184"/>
      <c r="F36" s="184"/>
      <c r="G36" s="184"/>
      <c r="H36" s="246"/>
      <c r="I36" s="255"/>
      <c r="J36" s="15"/>
      <c r="K36" s="301" t="s">
        <v>334</v>
      </c>
      <c r="L36" s="15"/>
    </row>
    <row r="37" spans="1:12" s="9" customFormat="1" ht="30" customHeight="1">
      <c r="A37" s="181" t="s">
        <v>150</v>
      </c>
      <c r="B37" s="182">
        <f>B33-B35</f>
        <v>44</v>
      </c>
      <c r="C37" s="182">
        <f>C33-C35</f>
        <v>44</v>
      </c>
      <c r="D37" s="183"/>
      <c r="E37" s="184"/>
      <c r="F37" s="184"/>
      <c r="G37" s="184"/>
      <c r="H37" s="246"/>
      <c r="I37" s="254"/>
      <c r="J37" s="15"/>
      <c r="K37" s="301" t="s">
        <v>181</v>
      </c>
      <c r="L37" s="15">
        <v>1.5</v>
      </c>
    </row>
    <row r="38" spans="1:12" s="9" customFormat="1" ht="30" customHeight="1">
      <c r="A38" s="203" t="s">
        <v>360</v>
      </c>
      <c r="B38" s="29">
        <v>129</v>
      </c>
      <c r="C38" s="29">
        <v>125</v>
      </c>
      <c r="D38" s="153">
        <v>125</v>
      </c>
      <c r="E38" s="148">
        <v>2.5</v>
      </c>
      <c r="F38" s="148">
        <v>3.1</v>
      </c>
      <c r="G38" s="148">
        <v>4.4</v>
      </c>
      <c r="H38" s="43">
        <f>G38*4+F38*9+E38*4</f>
        <v>55.5</v>
      </c>
      <c r="I38" s="243" t="s">
        <v>241</v>
      </c>
      <c r="J38" s="15"/>
      <c r="K38" s="301" t="s">
        <v>180</v>
      </c>
      <c r="L38" s="15">
        <v>1</v>
      </c>
    </row>
    <row r="39" spans="1:12" ht="30" customHeight="1">
      <c r="A39" s="203" t="s">
        <v>26</v>
      </c>
      <c r="B39" s="36">
        <v>20</v>
      </c>
      <c r="C39" s="36">
        <v>20</v>
      </c>
      <c r="D39" s="23">
        <v>20</v>
      </c>
      <c r="E39" s="109">
        <v>0.7</v>
      </c>
      <c r="F39" s="109">
        <v>0.2</v>
      </c>
      <c r="G39" s="109">
        <v>9.4</v>
      </c>
      <c r="H39" s="238">
        <v>41.3</v>
      </c>
      <c r="J39" s="70"/>
      <c r="K39" s="339"/>
      <c r="L39" s="70"/>
    </row>
    <row r="40" spans="1:12" s="9" customFormat="1" ht="30" customHeight="1">
      <c r="A40" s="485" t="s">
        <v>57</v>
      </c>
      <c r="B40" s="485"/>
      <c r="C40" s="485"/>
      <c r="D40" s="245">
        <f>D41+265+140+D83+D92+D100</f>
        <v>975</v>
      </c>
      <c r="E40" s="99">
        <f>E41+E57+E72+E83+E92+E97+E99+E100</f>
        <v>24.166666666666664</v>
      </c>
      <c r="F40" s="99">
        <f>F41+F57+F72+F83+F92+F97+F99+F100</f>
        <v>21.3</v>
      </c>
      <c r="G40" s="99">
        <f>G41+G57+G72+G83+G92+G97+G99+G100</f>
        <v>125.76666666666667</v>
      </c>
      <c r="H40" s="96">
        <f>H41+H57+H72+H83+H92+H97+H99+H100</f>
        <v>789.1666666666667</v>
      </c>
      <c r="I40" s="254"/>
      <c r="J40" s="15"/>
      <c r="K40" s="317"/>
      <c r="L40" s="15"/>
    </row>
    <row r="41" spans="1:12" s="9" customFormat="1" ht="30" customHeight="1">
      <c r="A41" s="476" t="s">
        <v>317</v>
      </c>
      <c r="B41" s="476"/>
      <c r="C41" s="476"/>
      <c r="D41" s="23">
        <v>60</v>
      </c>
      <c r="E41" s="44">
        <v>1.1</v>
      </c>
      <c r="F41" s="44">
        <v>3.1</v>
      </c>
      <c r="G41" s="44">
        <v>3.7</v>
      </c>
      <c r="H41" s="43">
        <f>G41*4+F41*9+E41*4</f>
        <v>47.1</v>
      </c>
      <c r="I41" s="243" t="s">
        <v>318</v>
      </c>
      <c r="J41" s="15"/>
      <c r="K41" s="317"/>
      <c r="L41" s="15"/>
    </row>
    <row r="42" spans="1:12" s="9" customFormat="1" ht="30" customHeight="1">
      <c r="A42" s="51" t="s">
        <v>12</v>
      </c>
      <c r="B42" s="22">
        <f>C42*1.33</f>
        <v>21.28</v>
      </c>
      <c r="C42" s="35">
        <v>16</v>
      </c>
      <c r="D42" s="36"/>
      <c r="E42" s="95"/>
      <c r="F42" s="95"/>
      <c r="G42" s="95"/>
      <c r="H42" s="276"/>
      <c r="J42" s="15"/>
      <c r="K42" s="317"/>
      <c r="L42" s="15"/>
    </row>
    <row r="43" spans="1:12" s="9" customFormat="1" ht="30" customHeight="1">
      <c r="A43" s="51" t="s">
        <v>13</v>
      </c>
      <c r="B43" s="22">
        <f>C43*1.43</f>
        <v>22.88</v>
      </c>
      <c r="C43" s="35">
        <v>16</v>
      </c>
      <c r="D43" s="36"/>
      <c r="E43" s="95"/>
      <c r="F43" s="95"/>
      <c r="G43" s="95"/>
      <c r="H43" s="95"/>
      <c r="I43" s="254"/>
      <c r="J43" s="15"/>
      <c r="K43" s="317"/>
      <c r="L43" s="15"/>
    </row>
    <row r="44" spans="1:12" s="9" customFormat="1" ht="30" customHeight="1">
      <c r="A44" s="53" t="s">
        <v>14</v>
      </c>
      <c r="B44" s="22">
        <f>C44*1.54</f>
        <v>24.64</v>
      </c>
      <c r="C44" s="35">
        <v>16</v>
      </c>
      <c r="D44" s="36"/>
      <c r="E44" s="95"/>
      <c r="F44" s="95"/>
      <c r="G44" s="95"/>
      <c r="H44" s="43"/>
      <c r="I44" s="254"/>
      <c r="J44" s="15"/>
      <c r="K44" s="317"/>
      <c r="L44" s="15"/>
    </row>
    <row r="45" spans="1:12" s="9" customFormat="1" ht="30" customHeight="1">
      <c r="A45" s="53" t="s">
        <v>15</v>
      </c>
      <c r="B45" s="22">
        <f>C45*1.67</f>
        <v>26.72</v>
      </c>
      <c r="C45" s="35">
        <v>16</v>
      </c>
      <c r="D45" s="36"/>
      <c r="E45" s="95"/>
      <c r="F45" s="95"/>
      <c r="G45" s="95"/>
      <c r="H45" s="43"/>
      <c r="I45" s="254"/>
      <c r="J45" s="15"/>
      <c r="K45" s="317"/>
      <c r="L45" s="15"/>
    </row>
    <row r="46" spans="1:12" ht="30" customHeight="1">
      <c r="A46" s="53" t="s">
        <v>276</v>
      </c>
      <c r="B46" s="22"/>
      <c r="C46" s="35">
        <v>15</v>
      </c>
      <c r="D46" s="36"/>
      <c r="E46" s="95"/>
      <c r="F46" s="95"/>
      <c r="G46" s="95"/>
      <c r="H46" s="43"/>
      <c r="I46" s="254"/>
      <c r="J46" s="15"/>
      <c r="K46" s="317"/>
      <c r="L46" s="15"/>
    </row>
    <row r="47" spans="1:12" s="9" customFormat="1" ht="30" customHeight="1">
      <c r="A47" s="51" t="s">
        <v>17</v>
      </c>
      <c r="B47" s="35">
        <f>C47*1.25</f>
        <v>15</v>
      </c>
      <c r="C47" s="35">
        <v>12</v>
      </c>
      <c r="D47" s="36"/>
      <c r="E47" s="95"/>
      <c r="F47" s="95"/>
      <c r="G47" s="95"/>
      <c r="H47" s="95"/>
      <c r="I47" s="254"/>
      <c r="J47" s="15"/>
      <c r="K47" s="317"/>
      <c r="L47" s="15"/>
    </row>
    <row r="48" spans="1:12" s="9" customFormat="1" ht="30" customHeight="1">
      <c r="A48" s="51" t="s">
        <v>16</v>
      </c>
      <c r="B48" s="35">
        <f>C48*1.33</f>
        <v>15.96</v>
      </c>
      <c r="C48" s="35">
        <v>12</v>
      </c>
      <c r="D48" s="36"/>
      <c r="E48" s="95"/>
      <c r="F48" s="95"/>
      <c r="G48" s="95"/>
      <c r="H48" s="87"/>
      <c r="I48" s="254"/>
      <c r="J48" s="15"/>
      <c r="K48" s="317"/>
      <c r="L48" s="15"/>
    </row>
    <row r="49" spans="1:12" s="9" customFormat="1" ht="30" customHeight="1">
      <c r="A49" s="51" t="s">
        <v>316</v>
      </c>
      <c r="B49" s="35"/>
      <c r="C49" s="35">
        <v>10</v>
      </c>
      <c r="D49" s="36"/>
      <c r="E49" s="95"/>
      <c r="F49" s="95"/>
      <c r="G49" s="95"/>
      <c r="H49" s="87"/>
      <c r="I49" s="254"/>
      <c r="J49" s="15"/>
      <c r="K49" s="317"/>
      <c r="L49" s="15"/>
    </row>
    <row r="50" spans="1:12" s="9" customFormat="1" ht="30" customHeight="1">
      <c r="A50" s="51" t="s">
        <v>60</v>
      </c>
      <c r="B50" s="40">
        <f>C50*1.25</f>
        <v>11.25</v>
      </c>
      <c r="C50" s="35">
        <v>9</v>
      </c>
      <c r="D50" s="36"/>
      <c r="E50" s="95"/>
      <c r="F50" s="95"/>
      <c r="G50" s="95"/>
      <c r="H50" s="95"/>
      <c r="I50" s="254"/>
      <c r="J50" s="15"/>
      <c r="K50" s="317"/>
      <c r="L50" s="15"/>
    </row>
    <row r="51" spans="1:12" s="9" customFormat="1" ht="30" customHeight="1">
      <c r="A51" s="51" t="s">
        <v>16</v>
      </c>
      <c r="B51" s="35">
        <f>C51*1.33</f>
        <v>11.97</v>
      </c>
      <c r="C51" s="35">
        <v>9</v>
      </c>
      <c r="D51" s="36"/>
      <c r="E51" s="95"/>
      <c r="F51" s="95"/>
      <c r="G51" s="95"/>
      <c r="H51" s="87"/>
      <c r="I51" s="254"/>
      <c r="J51" s="15"/>
      <c r="K51" s="317"/>
      <c r="L51" s="15"/>
    </row>
    <row r="52" spans="1:12" s="9" customFormat="1" ht="30" customHeight="1">
      <c r="A52" s="51" t="s">
        <v>319</v>
      </c>
      <c r="B52" s="35"/>
      <c r="C52" s="35">
        <v>8</v>
      </c>
      <c r="D52" s="36"/>
      <c r="E52" s="95"/>
      <c r="F52" s="95"/>
      <c r="G52" s="95"/>
      <c r="H52" s="87"/>
      <c r="I52" s="254"/>
      <c r="J52" s="15"/>
      <c r="K52" s="317"/>
      <c r="L52" s="15"/>
    </row>
    <row r="53" spans="1:12" s="9" customFormat="1" ht="30" customHeight="1">
      <c r="A53" s="51" t="s">
        <v>108</v>
      </c>
      <c r="B53" s="35">
        <f>C53*1.82</f>
        <v>32.76</v>
      </c>
      <c r="C53" s="35">
        <v>18</v>
      </c>
      <c r="D53" s="36"/>
      <c r="E53" s="95"/>
      <c r="F53" s="95"/>
      <c r="G53" s="95"/>
      <c r="H53" s="87"/>
      <c r="I53" s="254"/>
      <c r="J53" s="15"/>
      <c r="K53" s="317"/>
      <c r="L53" s="15"/>
    </row>
    <row r="54" spans="1:12" s="9" customFormat="1" ht="30" customHeight="1">
      <c r="A54" s="57" t="s">
        <v>50</v>
      </c>
      <c r="B54" s="35">
        <f>C54*1.54</f>
        <v>9.24</v>
      </c>
      <c r="C54" s="35">
        <v>6</v>
      </c>
      <c r="D54" s="36"/>
      <c r="E54" s="95"/>
      <c r="F54" s="95"/>
      <c r="G54" s="95"/>
      <c r="H54" s="87"/>
      <c r="I54" s="254"/>
      <c r="J54" s="15"/>
      <c r="K54" s="317"/>
      <c r="L54" s="15"/>
    </row>
    <row r="55" spans="1:12" s="9" customFormat="1" ht="30" customHeight="1">
      <c r="A55" s="57" t="s">
        <v>350</v>
      </c>
      <c r="B55" s="176">
        <f>C55*1.05</f>
        <v>6.300000000000001</v>
      </c>
      <c r="C55" s="35">
        <v>6</v>
      </c>
      <c r="D55" s="36"/>
      <c r="E55" s="95"/>
      <c r="F55" s="95"/>
      <c r="G55" s="95"/>
      <c r="H55" s="87"/>
      <c r="I55" s="254"/>
      <c r="J55" s="15"/>
      <c r="K55" s="317"/>
      <c r="L55" s="15"/>
    </row>
    <row r="56" spans="1:12" s="9" customFormat="1" ht="30" customHeight="1">
      <c r="A56" s="53" t="s">
        <v>119</v>
      </c>
      <c r="B56" s="36">
        <v>3</v>
      </c>
      <c r="C56" s="36">
        <v>3</v>
      </c>
      <c r="D56" s="36"/>
      <c r="E56" s="95"/>
      <c r="F56" s="95"/>
      <c r="G56" s="44"/>
      <c r="H56" s="274"/>
      <c r="I56" s="254"/>
      <c r="J56" s="15"/>
      <c r="K56" s="317"/>
      <c r="L56" s="15"/>
    </row>
    <row r="57" spans="1:12" s="9" customFormat="1" ht="30" customHeight="1">
      <c r="A57" s="502" t="s">
        <v>371</v>
      </c>
      <c r="B57" s="477"/>
      <c r="C57" s="477"/>
      <c r="D57" s="21" t="s">
        <v>152</v>
      </c>
      <c r="E57" s="356">
        <v>4.8</v>
      </c>
      <c r="F57" s="356">
        <v>5.7</v>
      </c>
      <c r="G57" s="356">
        <v>15.5</v>
      </c>
      <c r="H57" s="375">
        <f>E57*4+F57*9+G57*4</f>
        <v>132.5</v>
      </c>
      <c r="I57" s="243" t="s">
        <v>372</v>
      </c>
      <c r="J57" s="15"/>
      <c r="K57" s="317"/>
      <c r="L57" s="15"/>
    </row>
    <row r="58" spans="1:12" s="9" customFormat="1" ht="30" customHeight="1">
      <c r="A58" s="86" t="s">
        <v>86</v>
      </c>
      <c r="B58" s="27">
        <f>C58*1.36</f>
        <v>21.76</v>
      </c>
      <c r="C58" s="5">
        <v>16</v>
      </c>
      <c r="D58" s="228"/>
      <c r="E58" s="85"/>
      <c r="F58" s="85"/>
      <c r="G58" s="85"/>
      <c r="H58" s="240"/>
      <c r="I58" s="378"/>
      <c r="J58" s="15"/>
      <c r="K58" s="317"/>
      <c r="L58" s="15"/>
    </row>
    <row r="59" spans="1:12" s="9" customFormat="1" ht="30" customHeight="1">
      <c r="A59" s="86" t="s">
        <v>87</v>
      </c>
      <c r="B59" s="27">
        <f>C59*1.18</f>
        <v>18.88</v>
      </c>
      <c r="C59" s="5">
        <v>16</v>
      </c>
      <c r="D59" s="228"/>
      <c r="E59" s="85"/>
      <c r="F59" s="85"/>
      <c r="G59" s="85"/>
      <c r="H59" s="240"/>
      <c r="I59" s="378"/>
      <c r="J59" s="15"/>
      <c r="K59" s="317"/>
      <c r="L59" s="15"/>
    </row>
    <row r="60" spans="1:12" s="9" customFormat="1" ht="30" customHeight="1">
      <c r="A60" s="56" t="s">
        <v>244</v>
      </c>
      <c r="B60" s="37">
        <f>C60*1.25</f>
        <v>40</v>
      </c>
      <c r="C60" s="37">
        <v>32</v>
      </c>
      <c r="D60" s="237"/>
      <c r="E60" s="85"/>
      <c r="F60" s="85"/>
      <c r="G60" s="85"/>
      <c r="H60" s="240"/>
      <c r="I60" s="379"/>
      <c r="J60" s="15"/>
      <c r="K60" s="317"/>
      <c r="L60" s="15"/>
    </row>
    <row r="61" spans="1:12" s="9" customFormat="1" ht="30" customHeight="1">
      <c r="A61" s="56" t="s">
        <v>12</v>
      </c>
      <c r="B61" s="37">
        <f>C61*1.33</f>
        <v>37.24</v>
      </c>
      <c r="C61" s="36">
        <v>28</v>
      </c>
      <c r="D61" s="5"/>
      <c r="E61" s="95"/>
      <c r="F61" s="95"/>
      <c r="G61" s="95"/>
      <c r="H61" s="87"/>
      <c r="I61" s="380"/>
      <c r="J61" s="15"/>
      <c r="K61" s="317"/>
      <c r="L61" s="15"/>
    </row>
    <row r="62" spans="1:12" s="9" customFormat="1" ht="30" customHeight="1">
      <c r="A62" s="56" t="s">
        <v>13</v>
      </c>
      <c r="B62" s="37">
        <f>C62*1.43</f>
        <v>40.04</v>
      </c>
      <c r="C62" s="36">
        <v>28</v>
      </c>
      <c r="D62" s="5"/>
      <c r="E62" s="95"/>
      <c r="F62" s="95"/>
      <c r="G62" s="95"/>
      <c r="H62" s="87"/>
      <c r="I62" s="380"/>
      <c r="J62" s="15"/>
      <c r="K62" s="317"/>
      <c r="L62" s="15"/>
    </row>
    <row r="63" spans="1:12" s="9" customFormat="1" ht="30" customHeight="1">
      <c r="A63" s="56" t="s">
        <v>14</v>
      </c>
      <c r="B63" s="37">
        <f>C63*1.54</f>
        <v>43.120000000000005</v>
      </c>
      <c r="C63" s="36">
        <v>28</v>
      </c>
      <c r="D63" s="5"/>
      <c r="E63" s="95"/>
      <c r="F63" s="95"/>
      <c r="G63" s="95"/>
      <c r="H63" s="87"/>
      <c r="I63" s="380"/>
      <c r="J63" s="15"/>
      <c r="K63" s="317"/>
      <c r="L63" s="15"/>
    </row>
    <row r="64" spans="1:12" s="9" customFormat="1" ht="30" customHeight="1">
      <c r="A64" s="56" t="s">
        <v>15</v>
      </c>
      <c r="B64" s="37">
        <f>C64*1.67</f>
        <v>46.76</v>
      </c>
      <c r="C64" s="36">
        <v>28</v>
      </c>
      <c r="D64" s="5"/>
      <c r="E64" s="95"/>
      <c r="F64" s="95"/>
      <c r="G64" s="95"/>
      <c r="H64" s="87"/>
      <c r="I64" s="380"/>
      <c r="J64" s="15"/>
      <c r="K64" s="317"/>
      <c r="L64" s="15"/>
    </row>
    <row r="65" spans="1:12" s="9" customFormat="1" ht="30" customHeight="1">
      <c r="A65" s="56" t="s">
        <v>373</v>
      </c>
      <c r="B65" s="37">
        <v>10</v>
      </c>
      <c r="C65" s="36">
        <v>10</v>
      </c>
      <c r="D65" s="5"/>
      <c r="E65" s="95"/>
      <c r="F65" s="95"/>
      <c r="G65" s="95"/>
      <c r="H65" s="87"/>
      <c r="I65" s="380"/>
      <c r="J65" s="15"/>
      <c r="K65" s="317"/>
      <c r="L65" s="15"/>
    </row>
    <row r="66" spans="1:12" s="9" customFormat="1" ht="30" customHeight="1">
      <c r="A66" s="56" t="s">
        <v>362</v>
      </c>
      <c r="B66" s="41">
        <f>C66*1.25</f>
        <v>12.5</v>
      </c>
      <c r="C66" s="36">
        <v>10</v>
      </c>
      <c r="D66" s="5"/>
      <c r="E66" s="95"/>
      <c r="F66" s="95"/>
      <c r="G66" s="95"/>
      <c r="H66" s="87"/>
      <c r="I66" s="380"/>
      <c r="J66" s="15"/>
      <c r="K66" s="317"/>
      <c r="L66" s="15"/>
    </row>
    <row r="67" spans="1:12" s="9" customFormat="1" ht="30" customHeight="1">
      <c r="A67" s="56" t="s">
        <v>16</v>
      </c>
      <c r="B67" s="41">
        <f>C67*1.33</f>
        <v>13.3</v>
      </c>
      <c r="C67" s="36">
        <v>10</v>
      </c>
      <c r="D67" s="5"/>
      <c r="E67" s="95"/>
      <c r="F67" s="95"/>
      <c r="G67" s="95"/>
      <c r="H67" s="87"/>
      <c r="I67" s="380"/>
      <c r="J67" s="15"/>
      <c r="K67" s="317"/>
      <c r="L67" s="15"/>
    </row>
    <row r="68" spans="1:12" s="9" customFormat="1" ht="30" customHeight="1">
      <c r="A68" s="56" t="s">
        <v>18</v>
      </c>
      <c r="B68" s="37">
        <f>C68*1.19</f>
        <v>11.899999999999999</v>
      </c>
      <c r="C68" s="36">
        <v>10</v>
      </c>
      <c r="D68" s="5"/>
      <c r="E68" s="95"/>
      <c r="F68" s="95"/>
      <c r="G68" s="95"/>
      <c r="H68" s="87"/>
      <c r="I68" s="380"/>
      <c r="J68" s="15"/>
      <c r="K68" s="317"/>
      <c r="L68" s="15"/>
    </row>
    <row r="69" spans="1:12" ht="30" customHeight="1">
      <c r="A69" s="53" t="s">
        <v>19</v>
      </c>
      <c r="B69" s="37">
        <v>5</v>
      </c>
      <c r="C69" s="37">
        <v>5</v>
      </c>
      <c r="D69" s="36"/>
      <c r="E69" s="41"/>
      <c r="F69" s="41"/>
      <c r="G69" s="41"/>
      <c r="H69" s="37"/>
      <c r="I69" s="362"/>
      <c r="J69" s="70"/>
      <c r="K69" s="339"/>
      <c r="L69" s="70"/>
    </row>
    <row r="70" spans="1:12" s="9" customFormat="1" ht="30" customHeight="1">
      <c r="A70" s="51" t="s">
        <v>56</v>
      </c>
      <c r="B70" s="5">
        <v>5</v>
      </c>
      <c r="C70" s="5">
        <v>5</v>
      </c>
      <c r="D70" s="5"/>
      <c r="E70" s="95"/>
      <c r="F70" s="95"/>
      <c r="G70" s="95"/>
      <c r="H70" s="87"/>
      <c r="I70" s="380"/>
      <c r="J70" s="15"/>
      <c r="K70" s="317"/>
      <c r="L70" s="15"/>
    </row>
    <row r="71" spans="1:12" s="9" customFormat="1" ht="30" customHeight="1">
      <c r="A71" s="53" t="s">
        <v>72</v>
      </c>
      <c r="B71" s="40">
        <v>0.2</v>
      </c>
      <c r="C71" s="40">
        <v>0.2</v>
      </c>
      <c r="D71" s="228"/>
      <c r="E71" s="85"/>
      <c r="F71" s="85"/>
      <c r="G71" s="85"/>
      <c r="H71" s="240"/>
      <c r="I71" s="378"/>
      <c r="J71" s="15"/>
      <c r="K71" s="317"/>
      <c r="L71" s="15"/>
    </row>
    <row r="72" spans="1:12" s="9" customFormat="1" ht="30" customHeight="1">
      <c r="A72" s="501" t="s">
        <v>298</v>
      </c>
      <c r="B72" s="501"/>
      <c r="C72" s="501"/>
      <c r="D72" s="145" t="s">
        <v>254</v>
      </c>
      <c r="E72" s="104">
        <v>12.9</v>
      </c>
      <c r="F72" s="104">
        <v>6.4</v>
      </c>
      <c r="G72" s="104">
        <v>5.7</v>
      </c>
      <c r="H72" s="43">
        <f>G72*4+F72*9+E72*4</f>
        <v>132</v>
      </c>
      <c r="I72" s="256" t="s">
        <v>299</v>
      </c>
      <c r="J72" s="15"/>
      <c r="K72" s="317"/>
      <c r="L72" s="15"/>
    </row>
    <row r="73" spans="1:12" s="9" customFormat="1" ht="30" customHeight="1">
      <c r="A73" s="55" t="s">
        <v>83</v>
      </c>
      <c r="B73" s="381">
        <f>C73*1.35</f>
        <v>149.85000000000002</v>
      </c>
      <c r="C73" s="47">
        <v>111</v>
      </c>
      <c r="D73" s="50"/>
      <c r="E73" s="108"/>
      <c r="F73" s="108"/>
      <c r="G73" s="108"/>
      <c r="H73" s="88"/>
      <c r="I73" s="254"/>
      <c r="J73" s="15"/>
      <c r="K73" s="317"/>
      <c r="L73" s="15"/>
    </row>
    <row r="74" spans="1:12" s="9" customFormat="1" ht="30" customHeight="1">
      <c r="A74" s="112" t="s">
        <v>143</v>
      </c>
      <c r="B74" s="48">
        <f>C74*1.43</f>
        <v>154.44</v>
      </c>
      <c r="C74" s="36">
        <v>108</v>
      </c>
      <c r="D74" s="50"/>
      <c r="E74" s="95"/>
      <c r="F74" s="95"/>
      <c r="G74" s="95"/>
      <c r="H74" s="95"/>
      <c r="I74" s="254"/>
      <c r="J74" s="15"/>
      <c r="K74" s="317"/>
      <c r="L74" s="15"/>
    </row>
    <row r="75" spans="1:12" s="9" customFormat="1" ht="30" customHeight="1">
      <c r="A75" s="112" t="s">
        <v>144</v>
      </c>
      <c r="B75" s="48">
        <f>C75*1.72</f>
        <v>185.76</v>
      </c>
      <c r="C75" s="36">
        <v>108</v>
      </c>
      <c r="D75" s="50"/>
      <c r="E75" s="95"/>
      <c r="F75" s="95"/>
      <c r="G75" s="95"/>
      <c r="H75" s="276"/>
      <c r="I75" s="254"/>
      <c r="J75" s="15"/>
      <c r="K75" s="317"/>
      <c r="L75" s="15"/>
    </row>
    <row r="76" spans="1:12" s="9" customFormat="1" ht="30" customHeight="1">
      <c r="A76" s="51" t="s">
        <v>60</v>
      </c>
      <c r="B76" s="35">
        <f>C76*1.25</f>
        <v>22.5</v>
      </c>
      <c r="C76" s="47">
        <v>18</v>
      </c>
      <c r="D76" s="50"/>
      <c r="E76" s="108"/>
      <c r="F76" s="108"/>
      <c r="G76" s="108"/>
      <c r="H76" s="88"/>
      <c r="I76" s="254"/>
      <c r="J76" s="15"/>
      <c r="K76" s="317"/>
      <c r="L76" s="15"/>
    </row>
    <row r="77" spans="1:12" s="9" customFormat="1" ht="30" customHeight="1">
      <c r="A77" s="76" t="s">
        <v>16</v>
      </c>
      <c r="B77" s="35">
        <f>C77*1.33</f>
        <v>23.94</v>
      </c>
      <c r="C77" s="47">
        <v>18</v>
      </c>
      <c r="D77" s="50"/>
      <c r="E77" s="108"/>
      <c r="F77" s="108"/>
      <c r="G77" s="108"/>
      <c r="H77" s="88"/>
      <c r="I77" s="254"/>
      <c r="J77" s="15"/>
      <c r="K77" s="317"/>
      <c r="L77" s="15"/>
    </row>
    <row r="78" spans="1:12" s="9" customFormat="1" ht="30" customHeight="1">
      <c r="A78" s="76" t="s">
        <v>18</v>
      </c>
      <c r="B78" s="41">
        <f>C78*1.19</f>
        <v>14.28</v>
      </c>
      <c r="C78" s="47">
        <v>12</v>
      </c>
      <c r="D78" s="50"/>
      <c r="E78" s="108"/>
      <c r="F78" s="108"/>
      <c r="G78" s="108"/>
      <c r="H78" s="88"/>
      <c r="I78" s="254"/>
      <c r="J78" s="15"/>
      <c r="K78" s="317"/>
      <c r="L78" s="15"/>
    </row>
    <row r="79" spans="1:12" s="9" customFormat="1" ht="30" customHeight="1">
      <c r="A79" s="57" t="s">
        <v>54</v>
      </c>
      <c r="B79" s="47">
        <v>7.875</v>
      </c>
      <c r="C79" s="47">
        <v>7.875</v>
      </c>
      <c r="D79" s="50"/>
      <c r="E79" s="108"/>
      <c r="F79" s="108"/>
      <c r="G79" s="108"/>
      <c r="H79" s="88"/>
      <c r="I79" s="254"/>
      <c r="J79" s="15"/>
      <c r="K79" s="317"/>
      <c r="L79" s="15"/>
    </row>
    <row r="80" spans="1:12" s="9" customFormat="1" ht="30" customHeight="1">
      <c r="A80" s="52" t="s">
        <v>62</v>
      </c>
      <c r="B80" s="47">
        <v>19</v>
      </c>
      <c r="C80" s="47">
        <v>19</v>
      </c>
      <c r="D80" s="50"/>
      <c r="E80" s="108"/>
      <c r="F80" s="108"/>
      <c r="G80" s="108"/>
      <c r="H80" s="88"/>
      <c r="I80" s="254"/>
      <c r="J80" s="15"/>
      <c r="K80" s="317"/>
      <c r="L80" s="15"/>
    </row>
    <row r="81" spans="1:12" s="9" customFormat="1" ht="30" customHeight="1">
      <c r="A81" s="76" t="s">
        <v>11</v>
      </c>
      <c r="B81" s="47">
        <v>5</v>
      </c>
      <c r="C81" s="47">
        <v>5</v>
      </c>
      <c r="D81" s="50"/>
      <c r="E81" s="108"/>
      <c r="F81" s="108"/>
      <c r="G81" s="108"/>
      <c r="H81" s="88"/>
      <c r="I81" s="254"/>
      <c r="J81" s="15"/>
      <c r="K81" s="317"/>
      <c r="L81" s="15"/>
    </row>
    <row r="82" spans="1:12" s="9" customFormat="1" ht="30" customHeight="1">
      <c r="A82" s="53" t="s">
        <v>4</v>
      </c>
      <c r="B82" s="47">
        <v>1</v>
      </c>
      <c r="C82" s="47">
        <v>1</v>
      </c>
      <c r="D82" s="50"/>
      <c r="E82" s="108"/>
      <c r="F82" s="108"/>
      <c r="G82" s="108"/>
      <c r="H82" s="88"/>
      <c r="I82" s="254"/>
      <c r="J82" s="15"/>
      <c r="K82" s="317"/>
      <c r="L82" s="15"/>
    </row>
    <row r="83" spans="1:12" ht="30" customHeight="1">
      <c r="A83" s="476" t="s">
        <v>302</v>
      </c>
      <c r="B83" s="486"/>
      <c r="C83" s="486"/>
      <c r="D83" s="23">
        <v>150</v>
      </c>
      <c r="E83" s="109">
        <v>1.2</v>
      </c>
      <c r="F83" s="109">
        <v>5.1</v>
      </c>
      <c r="G83" s="109">
        <v>21.6</v>
      </c>
      <c r="H83" s="354">
        <f>E83*4+F83*9+G83*4</f>
        <v>137.1</v>
      </c>
      <c r="I83" s="270" t="s">
        <v>301</v>
      </c>
      <c r="J83" s="70"/>
      <c r="K83" s="339"/>
      <c r="L83" s="70"/>
    </row>
    <row r="84" spans="1:12" ht="30" customHeight="1">
      <c r="A84" s="53" t="s">
        <v>12</v>
      </c>
      <c r="B84" s="37">
        <f>C84*1.33</f>
        <v>199.5</v>
      </c>
      <c r="C84" s="37">
        <v>150</v>
      </c>
      <c r="D84" s="36"/>
      <c r="E84" s="36"/>
      <c r="F84" s="36"/>
      <c r="G84" s="36"/>
      <c r="H84" s="36"/>
      <c r="J84" s="70"/>
      <c r="K84" s="339"/>
      <c r="L84" s="70"/>
    </row>
    <row r="85" spans="1:12" ht="30" customHeight="1">
      <c r="A85" s="53" t="s">
        <v>13</v>
      </c>
      <c r="B85" s="37">
        <f>C85*1.43</f>
        <v>214.5</v>
      </c>
      <c r="C85" s="37">
        <v>150</v>
      </c>
      <c r="D85" s="36"/>
      <c r="E85" s="36"/>
      <c r="F85" s="36"/>
      <c r="G85" s="36"/>
      <c r="H85" s="36"/>
      <c r="J85" s="70"/>
      <c r="K85" s="339"/>
      <c r="L85" s="70"/>
    </row>
    <row r="86" spans="1:12" ht="30" customHeight="1">
      <c r="A86" s="53" t="s">
        <v>14</v>
      </c>
      <c r="B86" s="37">
        <f>C86*1.54</f>
        <v>231</v>
      </c>
      <c r="C86" s="37">
        <v>150</v>
      </c>
      <c r="D86" s="36"/>
      <c r="E86" s="36"/>
      <c r="F86" s="36"/>
      <c r="G86" s="36"/>
      <c r="H86" s="36"/>
      <c r="J86" s="70"/>
      <c r="K86" s="339"/>
      <c r="L86" s="70"/>
    </row>
    <row r="87" spans="1:12" s="9" customFormat="1" ht="30" customHeight="1">
      <c r="A87" s="53" t="s">
        <v>15</v>
      </c>
      <c r="B87" s="87">
        <f>C87*1.67</f>
        <v>250.5</v>
      </c>
      <c r="C87" s="87">
        <v>150</v>
      </c>
      <c r="D87" s="276"/>
      <c r="E87" s="276"/>
      <c r="F87" s="276"/>
      <c r="G87" s="276"/>
      <c r="H87" s="276"/>
      <c r="I87" s="254"/>
      <c r="J87" s="15"/>
      <c r="K87" s="317"/>
      <c r="L87" s="15"/>
    </row>
    <row r="88" spans="1:12" ht="30" customHeight="1">
      <c r="A88" s="53" t="s">
        <v>146</v>
      </c>
      <c r="B88" s="37">
        <v>25</v>
      </c>
      <c r="C88" s="37">
        <v>25</v>
      </c>
      <c r="D88" s="36"/>
      <c r="E88" s="36"/>
      <c r="F88" s="36"/>
      <c r="G88" s="36"/>
      <c r="H88" s="36"/>
      <c r="J88" s="70"/>
      <c r="K88" s="339"/>
      <c r="L88" s="70"/>
    </row>
    <row r="89" spans="1:12" ht="30" customHeight="1">
      <c r="A89" s="53" t="s">
        <v>18</v>
      </c>
      <c r="B89" s="37">
        <f>C89*1.19</f>
        <v>19.04</v>
      </c>
      <c r="C89" s="36">
        <v>16</v>
      </c>
      <c r="D89" s="147"/>
      <c r="E89" s="147"/>
      <c r="F89" s="147"/>
      <c r="G89" s="147"/>
      <c r="H89" s="147"/>
      <c r="J89" s="70"/>
      <c r="K89" s="339"/>
      <c r="L89" s="70"/>
    </row>
    <row r="90" spans="1:12" ht="30" customHeight="1">
      <c r="A90" s="53" t="s">
        <v>19</v>
      </c>
      <c r="B90" s="36">
        <v>5</v>
      </c>
      <c r="C90" s="36">
        <v>5</v>
      </c>
      <c r="D90" s="147"/>
      <c r="E90" s="355"/>
      <c r="F90" s="355"/>
      <c r="G90" s="355"/>
      <c r="H90" s="147"/>
      <c r="I90" s="258"/>
      <c r="J90" s="70"/>
      <c r="K90" s="339"/>
      <c r="L90" s="70"/>
    </row>
    <row r="91" spans="1:12" ht="30" customHeight="1">
      <c r="A91" s="53" t="s">
        <v>147</v>
      </c>
      <c r="B91" s="36"/>
      <c r="C91" s="36">
        <v>8</v>
      </c>
      <c r="D91" s="147"/>
      <c r="E91" s="355"/>
      <c r="F91" s="355"/>
      <c r="G91" s="355"/>
      <c r="H91" s="147"/>
      <c r="I91" s="258"/>
      <c r="J91" s="70"/>
      <c r="K91" s="339"/>
      <c r="L91" s="70"/>
    </row>
    <row r="92" spans="1:12" ht="30" customHeight="1">
      <c r="A92" s="332" t="s">
        <v>218</v>
      </c>
      <c r="B92" s="23">
        <v>200</v>
      </c>
      <c r="C92" s="23">
        <v>200</v>
      </c>
      <c r="D92" s="23">
        <v>200</v>
      </c>
      <c r="E92" s="44">
        <v>0.5</v>
      </c>
      <c r="F92" s="44">
        <v>0.1</v>
      </c>
      <c r="G92" s="44">
        <v>28</v>
      </c>
      <c r="H92" s="43">
        <f>G92*4+F92*9+E92*4</f>
        <v>114.9</v>
      </c>
      <c r="I92" s="243" t="s">
        <v>219</v>
      </c>
      <c r="J92" s="70"/>
      <c r="K92" s="339"/>
      <c r="L92" s="70"/>
    </row>
    <row r="93" spans="1:12" ht="30" customHeight="1">
      <c r="A93" s="473" t="s">
        <v>69</v>
      </c>
      <c r="B93" s="473"/>
      <c r="C93" s="473"/>
      <c r="D93" s="473"/>
      <c r="E93" s="473"/>
      <c r="F93" s="473"/>
      <c r="G93" s="473"/>
      <c r="H93" s="473"/>
      <c r="J93" s="70"/>
      <c r="K93" s="339"/>
      <c r="L93" s="70"/>
    </row>
    <row r="94" spans="1:12" ht="30" customHeight="1">
      <c r="A94" s="481" t="s">
        <v>265</v>
      </c>
      <c r="B94" s="481"/>
      <c r="C94" s="481"/>
      <c r="D94" s="26">
        <v>200</v>
      </c>
      <c r="E94" s="45">
        <v>1</v>
      </c>
      <c r="F94" s="45">
        <v>0</v>
      </c>
      <c r="G94" s="45">
        <v>25.2</v>
      </c>
      <c r="H94" s="43">
        <f>G94*4+F94*9+E94*4</f>
        <v>104.8</v>
      </c>
      <c r="I94" s="256" t="s">
        <v>236</v>
      </c>
      <c r="J94" s="15"/>
      <c r="K94" s="317"/>
      <c r="L94" s="15"/>
    </row>
    <row r="95" spans="1:12" s="9" customFormat="1" ht="30" customHeight="1">
      <c r="A95" s="53" t="s">
        <v>73</v>
      </c>
      <c r="B95" s="36">
        <v>25</v>
      </c>
      <c r="C95" s="36">
        <v>25</v>
      </c>
      <c r="D95" s="36"/>
      <c r="E95" s="95"/>
      <c r="F95" s="95"/>
      <c r="G95" s="95"/>
      <c r="H95" s="276"/>
      <c r="I95" s="254"/>
      <c r="J95" s="15"/>
      <c r="K95" s="317"/>
      <c r="L95" s="15"/>
    </row>
    <row r="96" spans="1:32" s="9" customFormat="1" ht="30" customHeight="1">
      <c r="A96" s="53" t="s">
        <v>4</v>
      </c>
      <c r="B96" s="36">
        <v>10</v>
      </c>
      <c r="C96" s="36">
        <v>10</v>
      </c>
      <c r="D96" s="36"/>
      <c r="E96" s="95"/>
      <c r="F96" s="95"/>
      <c r="G96" s="95"/>
      <c r="H96" s="276"/>
      <c r="I96" s="254"/>
      <c r="J96" s="15"/>
      <c r="K96" s="317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</row>
    <row r="97" spans="1:32" ht="30" customHeight="1">
      <c r="A97" s="330" t="s">
        <v>20</v>
      </c>
      <c r="B97" s="25">
        <v>40</v>
      </c>
      <c r="C97" s="25">
        <v>40</v>
      </c>
      <c r="D97" s="39">
        <v>40</v>
      </c>
      <c r="E97" s="342">
        <v>1.8666666666666667</v>
      </c>
      <c r="F97" s="342">
        <v>0.4</v>
      </c>
      <c r="G97" s="342">
        <v>17.466666666666665</v>
      </c>
      <c r="H97" s="343">
        <v>81.06666666666666</v>
      </c>
      <c r="I97" s="344"/>
      <c r="J97" s="70"/>
      <c r="K97" s="339"/>
      <c r="L97" s="70"/>
      <c r="M97" s="273"/>
      <c r="N97" s="273"/>
      <c r="O97" s="273"/>
      <c r="P97" s="273"/>
      <c r="Q97" s="64"/>
      <c r="R97" s="12"/>
      <c r="S97" s="12"/>
      <c r="T97" s="12"/>
      <c r="U97" s="10"/>
      <c r="V97" s="65"/>
      <c r="W97" s="66"/>
      <c r="X97" s="67"/>
      <c r="Y97" s="67"/>
      <c r="Z97" s="67"/>
      <c r="AA97" s="67"/>
      <c r="AB97" s="67"/>
      <c r="AC97" s="67"/>
      <c r="AD97" s="68"/>
      <c r="AE97" s="68"/>
      <c r="AF97" s="70"/>
    </row>
    <row r="98" spans="1:32" ht="30" customHeight="1">
      <c r="A98" s="483" t="s">
        <v>74</v>
      </c>
      <c r="B98" s="482"/>
      <c r="C98" s="482"/>
      <c r="D98" s="77">
        <v>40</v>
      </c>
      <c r="E98" s="95"/>
      <c r="F98" s="95"/>
      <c r="G98" s="95"/>
      <c r="H98" s="95"/>
      <c r="I98" s="254"/>
      <c r="J98" s="15"/>
      <c r="K98" s="317"/>
      <c r="L98" s="15"/>
      <c r="M98" s="70"/>
      <c r="N98" s="70"/>
      <c r="O98" s="71"/>
      <c r="P98" s="67"/>
      <c r="Q98" s="67"/>
      <c r="R98" s="67"/>
      <c r="S98" s="67"/>
      <c r="T98" s="67"/>
      <c r="U98" s="67"/>
      <c r="V98" s="65"/>
      <c r="W98" s="158"/>
      <c r="X98" s="67"/>
      <c r="Y98" s="67"/>
      <c r="Z98" s="67"/>
      <c r="AA98" s="67"/>
      <c r="AB98" s="67"/>
      <c r="AC98" s="67"/>
      <c r="AD98" s="68"/>
      <c r="AE98" s="68"/>
      <c r="AF98" s="70"/>
    </row>
    <row r="99" spans="1:32" ht="30" customHeight="1">
      <c r="A99" s="203" t="s">
        <v>26</v>
      </c>
      <c r="B99" s="36">
        <v>40</v>
      </c>
      <c r="C99" s="36">
        <v>40</v>
      </c>
      <c r="D99" s="23">
        <v>40</v>
      </c>
      <c r="E99" s="109">
        <v>1.4</v>
      </c>
      <c r="F99" s="109">
        <v>0.4</v>
      </c>
      <c r="G99" s="109">
        <v>18.8</v>
      </c>
      <c r="H99" s="238">
        <v>82</v>
      </c>
      <c r="J99" s="70"/>
      <c r="K99" s="339"/>
      <c r="L99" s="70"/>
      <c r="M99" s="70"/>
      <c r="N99" s="70"/>
      <c r="O99" s="71"/>
      <c r="P99" s="67"/>
      <c r="Q99" s="67"/>
      <c r="R99" s="67"/>
      <c r="S99" s="65"/>
      <c r="T99" s="65"/>
      <c r="U99" s="65"/>
      <c r="V99" s="65"/>
      <c r="W99" s="158"/>
      <c r="X99" s="67"/>
      <c r="Y99" s="67"/>
      <c r="Z99" s="67"/>
      <c r="AA99" s="67"/>
      <c r="AB99" s="67"/>
      <c r="AC99" s="67"/>
      <c r="AD99" s="68"/>
      <c r="AE99" s="68"/>
      <c r="AF99" s="70"/>
    </row>
    <row r="100" spans="1:32" ht="30" customHeight="1">
      <c r="A100" s="476" t="s">
        <v>94</v>
      </c>
      <c r="B100" s="482"/>
      <c r="C100" s="482"/>
      <c r="D100" s="26">
        <v>160</v>
      </c>
      <c r="E100" s="45">
        <v>0.4</v>
      </c>
      <c r="F100" s="45">
        <v>0.1</v>
      </c>
      <c r="G100" s="45">
        <v>15</v>
      </c>
      <c r="H100" s="43">
        <f>E100*4+F100*9+G100*4</f>
        <v>62.5</v>
      </c>
      <c r="I100" s="256" t="s">
        <v>205</v>
      </c>
      <c r="J100" s="15"/>
      <c r="K100" s="317"/>
      <c r="L100" s="15"/>
      <c r="M100" s="70"/>
      <c r="N100" s="70"/>
      <c r="O100" s="71"/>
      <c r="P100" s="67"/>
      <c r="Q100" s="67"/>
      <c r="R100" s="67"/>
      <c r="S100" s="65"/>
      <c r="T100" s="65"/>
      <c r="U100" s="65"/>
      <c r="V100" s="65"/>
      <c r="W100" s="158"/>
      <c r="X100" s="67"/>
      <c r="Y100" s="67"/>
      <c r="Z100" s="67"/>
      <c r="AA100" s="67"/>
      <c r="AB100" s="67"/>
      <c r="AC100" s="67"/>
      <c r="AD100" s="68"/>
      <c r="AE100" s="68"/>
      <c r="AF100" s="70"/>
    </row>
    <row r="101" spans="1:32" s="9" customFormat="1" ht="30" customHeight="1">
      <c r="A101" s="472" t="s">
        <v>24</v>
      </c>
      <c r="B101" s="472"/>
      <c r="C101" s="472"/>
      <c r="D101" s="472"/>
      <c r="E101" s="99">
        <f>E40+E8</f>
        <v>47.96666666666666</v>
      </c>
      <c r="F101" s="99">
        <f>F40+F8</f>
        <v>45.599999999999994</v>
      </c>
      <c r="G101" s="99">
        <f>G40+G8</f>
        <v>188.86666666666667</v>
      </c>
      <c r="H101" s="96">
        <f>H40+H8</f>
        <v>1354.5666666666666</v>
      </c>
      <c r="I101" s="254"/>
      <c r="J101" s="15"/>
      <c r="K101" s="317"/>
      <c r="L101" s="15"/>
      <c r="M101" s="15"/>
      <c r="N101" s="15"/>
      <c r="O101" s="11"/>
      <c r="P101" s="14"/>
      <c r="Q101" s="14"/>
      <c r="R101" s="14"/>
      <c r="S101" s="13"/>
      <c r="T101" s="13"/>
      <c r="U101" s="13"/>
      <c r="V101" s="13"/>
      <c r="W101" s="159"/>
      <c r="X101" s="14"/>
      <c r="Y101" s="14"/>
      <c r="Z101" s="14"/>
      <c r="AA101" s="14"/>
      <c r="AB101" s="14"/>
      <c r="AC101" s="14"/>
      <c r="AD101" s="4"/>
      <c r="AE101" s="4"/>
      <c r="AF101" s="15"/>
    </row>
    <row r="102" spans="1:32" s="9" customFormat="1" ht="30" customHeight="1">
      <c r="A102" s="478" t="s">
        <v>41</v>
      </c>
      <c r="B102" s="478"/>
      <c r="C102" s="478"/>
      <c r="D102" s="478"/>
      <c r="E102" s="478"/>
      <c r="F102" s="478"/>
      <c r="G102" s="478"/>
      <c r="H102" s="478"/>
      <c r="I102" s="478"/>
      <c r="K102" s="313"/>
      <c r="M102" s="15"/>
      <c r="N102" s="15"/>
      <c r="O102" s="11"/>
      <c r="P102" s="14"/>
      <c r="Q102" s="14"/>
      <c r="R102" s="14"/>
      <c r="S102" s="13"/>
      <c r="T102" s="13"/>
      <c r="U102" s="13"/>
      <c r="V102" s="13"/>
      <c r="W102" s="159"/>
      <c r="X102" s="14"/>
      <c r="Y102" s="14"/>
      <c r="Z102" s="14"/>
      <c r="AA102" s="14"/>
      <c r="AB102" s="14"/>
      <c r="AC102" s="14"/>
      <c r="AD102" s="4"/>
      <c r="AE102" s="4"/>
      <c r="AF102" s="15"/>
    </row>
    <row r="103" spans="1:32" s="9" customFormat="1" ht="30" customHeight="1">
      <c r="A103" s="470" t="s">
        <v>0</v>
      </c>
      <c r="B103" s="471" t="s">
        <v>6</v>
      </c>
      <c r="C103" s="471" t="s">
        <v>7</v>
      </c>
      <c r="D103" s="470" t="s">
        <v>5</v>
      </c>
      <c r="E103" s="470"/>
      <c r="F103" s="470"/>
      <c r="G103" s="470"/>
      <c r="H103" s="470"/>
      <c r="I103" s="470"/>
      <c r="K103" s="313"/>
      <c r="M103" s="15"/>
      <c r="N103" s="15"/>
      <c r="O103" s="11"/>
      <c r="P103" s="14"/>
      <c r="Q103" s="14"/>
      <c r="R103" s="14"/>
      <c r="S103" s="13"/>
      <c r="T103" s="13"/>
      <c r="U103" s="13"/>
      <c r="V103" s="13"/>
      <c r="W103" s="159"/>
      <c r="X103" s="14"/>
      <c r="Y103" s="14"/>
      <c r="Z103" s="14"/>
      <c r="AA103" s="14"/>
      <c r="AB103" s="14"/>
      <c r="AC103" s="14"/>
      <c r="AD103" s="4"/>
      <c r="AE103" s="4"/>
      <c r="AF103" s="15"/>
    </row>
    <row r="104" spans="1:32" s="9" customFormat="1" ht="30" customHeight="1">
      <c r="A104" s="470"/>
      <c r="B104" s="471"/>
      <c r="C104" s="471"/>
      <c r="D104" s="135" t="s">
        <v>8</v>
      </c>
      <c r="E104" s="281" t="s">
        <v>1</v>
      </c>
      <c r="F104" s="281" t="s">
        <v>2</v>
      </c>
      <c r="G104" s="281" t="s">
        <v>9</v>
      </c>
      <c r="H104" s="280" t="s">
        <v>3</v>
      </c>
      <c r="I104" s="282" t="s">
        <v>190</v>
      </c>
      <c r="K104" s="313"/>
      <c r="L104" s="2"/>
      <c r="M104" s="15"/>
      <c r="N104" s="15"/>
      <c r="O104" s="11"/>
      <c r="P104" s="14"/>
      <c r="Q104" s="14"/>
      <c r="R104" s="14"/>
      <c r="S104" s="13"/>
      <c r="T104" s="13"/>
      <c r="U104" s="13"/>
      <c r="V104" s="13"/>
      <c r="W104" s="159"/>
      <c r="X104" s="14"/>
      <c r="Y104" s="14"/>
      <c r="Z104" s="14"/>
      <c r="AA104" s="14"/>
      <c r="AB104" s="14"/>
      <c r="AC104" s="14"/>
      <c r="AD104" s="4"/>
      <c r="AE104" s="4"/>
      <c r="AF104" s="15"/>
    </row>
    <row r="105" spans="1:32" s="9" customFormat="1" ht="30" customHeight="1">
      <c r="A105" s="485" t="s">
        <v>105</v>
      </c>
      <c r="B105" s="485"/>
      <c r="C105" s="485"/>
      <c r="D105" s="245">
        <f>D106+D116+D127+D131+D134</f>
        <v>630</v>
      </c>
      <c r="E105" s="99">
        <f>E106+E116+E127+E131+E134+E135+E137</f>
        <v>21.099999999999998</v>
      </c>
      <c r="F105" s="99">
        <f>F106+F116+F127+F131+F134+F135+F137</f>
        <v>18.4</v>
      </c>
      <c r="G105" s="99">
        <f>G106+G116+G127+G131+G134+G135+G137</f>
        <v>69.60000000000001</v>
      </c>
      <c r="H105" s="99">
        <f>H106+H116+H127+H131+H134+H135+H137</f>
        <v>532.9</v>
      </c>
      <c r="I105" s="254"/>
      <c r="K105" s="313"/>
      <c r="M105" s="15"/>
      <c r="N105" s="15"/>
      <c r="O105" s="11"/>
      <c r="P105" s="14"/>
      <c r="Q105" s="14"/>
      <c r="R105" s="14"/>
      <c r="S105" s="13"/>
      <c r="T105" s="13"/>
      <c r="U105" s="13"/>
      <c r="V105" s="13"/>
      <c r="W105" s="159"/>
      <c r="X105" s="14"/>
      <c r="Y105" s="14"/>
      <c r="Z105" s="14"/>
      <c r="AA105" s="14"/>
      <c r="AB105" s="14"/>
      <c r="AC105" s="14"/>
      <c r="AD105" s="4"/>
      <c r="AE105" s="4"/>
      <c r="AF105" s="15"/>
    </row>
    <row r="106" spans="1:32" s="9" customFormat="1" ht="30" customHeight="1">
      <c r="A106" s="476" t="s">
        <v>465</v>
      </c>
      <c r="B106" s="476"/>
      <c r="C106" s="476"/>
      <c r="D106" s="274">
        <v>100</v>
      </c>
      <c r="E106" s="44">
        <v>15.8</v>
      </c>
      <c r="F106" s="44">
        <v>14.1</v>
      </c>
      <c r="G106" s="44">
        <v>10.5</v>
      </c>
      <c r="H106" s="43">
        <f>G106*4+F106*9+E106*4</f>
        <v>232.09999999999997</v>
      </c>
      <c r="I106" s="221" t="s">
        <v>466</v>
      </c>
      <c r="K106" s="318" t="s">
        <v>41</v>
      </c>
      <c r="L106" s="1"/>
      <c r="M106" s="15"/>
      <c r="N106" s="15"/>
      <c r="O106" s="11"/>
      <c r="P106" s="14"/>
      <c r="Q106" s="14"/>
      <c r="R106" s="14"/>
      <c r="S106" s="13"/>
      <c r="T106" s="13"/>
      <c r="U106" s="13"/>
      <c r="V106" s="13"/>
      <c r="W106" s="159"/>
      <c r="X106" s="14"/>
      <c r="Y106" s="14"/>
      <c r="Z106" s="14"/>
      <c r="AA106" s="14"/>
      <c r="AB106" s="14"/>
      <c r="AC106" s="14"/>
      <c r="AD106" s="4"/>
      <c r="AE106" s="4"/>
      <c r="AF106" s="15"/>
    </row>
    <row r="107" spans="1:32" s="9" customFormat="1" ht="30" customHeight="1">
      <c r="A107" s="112" t="s">
        <v>374</v>
      </c>
      <c r="B107" s="48">
        <f>C107*1.43</f>
        <v>161.59</v>
      </c>
      <c r="C107" s="37">
        <v>113</v>
      </c>
      <c r="D107" s="36"/>
      <c r="E107" s="41"/>
      <c r="F107" s="41"/>
      <c r="G107" s="41"/>
      <c r="H107" s="41"/>
      <c r="I107" s="382"/>
      <c r="K107" s="301" t="s">
        <v>26</v>
      </c>
      <c r="L107" s="9">
        <f>D200+C137</f>
        <v>50</v>
      </c>
      <c r="M107" s="15"/>
      <c r="N107" s="15"/>
      <c r="O107" s="11"/>
      <c r="P107" s="14"/>
      <c r="Q107" s="14"/>
      <c r="R107" s="14"/>
      <c r="S107" s="13"/>
      <c r="T107" s="13"/>
      <c r="U107" s="13"/>
      <c r="V107" s="13"/>
      <c r="W107" s="159"/>
      <c r="X107" s="14"/>
      <c r="Y107" s="14"/>
      <c r="Z107" s="14"/>
      <c r="AA107" s="14"/>
      <c r="AB107" s="14"/>
      <c r="AC107" s="14"/>
      <c r="AD107" s="4"/>
      <c r="AE107" s="4"/>
      <c r="AF107" s="15"/>
    </row>
    <row r="108" spans="1:32" s="9" customFormat="1" ht="30" customHeight="1">
      <c r="A108" s="112" t="s">
        <v>144</v>
      </c>
      <c r="B108" s="48">
        <f>C108*1.72</f>
        <v>194.35999999999999</v>
      </c>
      <c r="C108" s="37">
        <v>113</v>
      </c>
      <c r="D108" s="36"/>
      <c r="E108" s="41"/>
      <c r="F108" s="41"/>
      <c r="G108" s="41"/>
      <c r="H108" s="37"/>
      <c r="I108" s="382"/>
      <c r="K108" s="301" t="s">
        <v>126</v>
      </c>
      <c r="L108" s="6">
        <f>D198+C135</f>
        <v>50</v>
      </c>
      <c r="M108" s="15"/>
      <c r="N108" s="15"/>
      <c r="O108" s="11"/>
      <c r="P108" s="14"/>
      <c r="Q108" s="14"/>
      <c r="R108" s="14"/>
      <c r="S108" s="13"/>
      <c r="T108" s="13"/>
      <c r="U108" s="13"/>
      <c r="V108" s="13"/>
      <c r="W108" s="159"/>
      <c r="X108" s="14"/>
      <c r="Y108" s="14"/>
      <c r="Z108" s="14"/>
      <c r="AA108" s="14"/>
      <c r="AB108" s="14"/>
      <c r="AC108" s="14"/>
      <c r="AD108" s="4"/>
      <c r="AE108" s="4"/>
      <c r="AF108" s="15"/>
    </row>
    <row r="109" spans="1:32" ht="30" customHeight="1">
      <c r="A109" s="112" t="s">
        <v>375</v>
      </c>
      <c r="B109" s="48">
        <f>C109*1.35</f>
        <v>145.8</v>
      </c>
      <c r="C109" s="87">
        <v>108</v>
      </c>
      <c r="D109" s="36"/>
      <c r="E109" s="95"/>
      <c r="F109" s="95"/>
      <c r="G109" s="95"/>
      <c r="H109" s="87"/>
      <c r="I109" s="95"/>
      <c r="K109" s="301" t="s">
        <v>155</v>
      </c>
      <c r="L109" s="17">
        <f>C185+C110+C181</f>
        <v>19.5</v>
      </c>
      <c r="M109" s="70"/>
      <c r="N109" s="70"/>
      <c r="O109" s="71"/>
      <c r="P109" s="67"/>
      <c r="Q109" s="67"/>
      <c r="R109" s="67"/>
      <c r="S109" s="65"/>
      <c r="T109" s="65"/>
      <c r="U109" s="65"/>
      <c r="V109" s="65"/>
      <c r="W109" s="160"/>
      <c r="X109" s="67"/>
      <c r="Y109" s="67"/>
      <c r="Z109" s="67"/>
      <c r="AA109" s="67"/>
      <c r="AB109" s="67"/>
      <c r="AC109" s="67"/>
      <c r="AD109" s="68"/>
      <c r="AE109" s="68"/>
      <c r="AF109" s="70"/>
    </row>
    <row r="110" spans="1:32" ht="30" customHeight="1">
      <c r="A110" s="53" t="s">
        <v>21</v>
      </c>
      <c r="B110" s="37">
        <v>10</v>
      </c>
      <c r="C110" s="37">
        <v>10</v>
      </c>
      <c r="D110" s="36"/>
      <c r="E110" s="41"/>
      <c r="F110" s="41"/>
      <c r="G110" s="41"/>
      <c r="H110" s="37"/>
      <c r="I110" s="41"/>
      <c r="K110" s="301" t="s">
        <v>66</v>
      </c>
      <c r="L110" s="61">
        <f>C189+C175</f>
        <v>68</v>
      </c>
      <c r="M110" s="70"/>
      <c r="N110" s="70"/>
      <c r="O110" s="71"/>
      <c r="P110" s="67"/>
      <c r="Q110" s="67"/>
      <c r="R110" s="67"/>
      <c r="S110" s="65"/>
      <c r="T110" s="65"/>
      <c r="U110" s="65"/>
      <c r="V110" s="65"/>
      <c r="W110" s="160"/>
      <c r="X110" s="67"/>
      <c r="Y110" s="67"/>
      <c r="Z110" s="67"/>
      <c r="AA110" s="67"/>
      <c r="AB110" s="67"/>
      <c r="AC110" s="67"/>
      <c r="AD110" s="68"/>
      <c r="AE110" s="68"/>
      <c r="AF110" s="70"/>
    </row>
    <row r="111" spans="1:32" ht="30" customHeight="1">
      <c r="A111" s="53" t="s">
        <v>376</v>
      </c>
      <c r="B111" s="37"/>
      <c r="C111" s="37">
        <v>95</v>
      </c>
      <c r="D111" s="36"/>
      <c r="E111" s="41"/>
      <c r="F111" s="41"/>
      <c r="G111" s="41"/>
      <c r="H111" s="37"/>
      <c r="I111" s="41"/>
      <c r="K111" s="301" t="s">
        <v>65</v>
      </c>
      <c r="L111" s="62"/>
      <c r="M111" s="70"/>
      <c r="N111" s="70"/>
      <c r="O111" s="71"/>
      <c r="P111" s="67"/>
      <c r="Q111" s="67"/>
      <c r="R111" s="67"/>
      <c r="S111" s="65"/>
      <c r="T111" s="65"/>
      <c r="U111" s="65"/>
      <c r="V111" s="65"/>
      <c r="W111" s="160"/>
      <c r="X111" s="67"/>
      <c r="Y111" s="67"/>
      <c r="Z111" s="67"/>
      <c r="AA111" s="67"/>
      <c r="AB111" s="67"/>
      <c r="AC111" s="67"/>
      <c r="AD111" s="68"/>
      <c r="AE111" s="68"/>
      <c r="AF111" s="70"/>
    </row>
    <row r="112" spans="1:32" ht="30" customHeight="1">
      <c r="A112" s="53" t="s">
        <v>377</v>
      </c>
      <c r="B112" s="37"/>
      <c r="C112" s="37"/>
      <c r="D112" s="36"/>
      <c r="E112" s="95"/>
      <c r="F112" s="95"/>
      <c r="G112" s="95"/>
      <c r="H112" s="87"/>
      <c r="I112" s="95"/>
      <c r="K112" s="301" t="s">
        <v>27</v>
      </c>
      <c r="L112" s="17">
        <f>C161+C140+C117</f>
        <v>181</v>
      </c>
      <c r="M112" s="70"/>
      <c r="N112" s="70"/>
      <c r="O112" s="71"/>
      <c r="P112" s="67"/>
      <c r="Q112" s="67"/>
      <c r="R112" s="67"/>
      <c r="S112" s="65"/>
      <c r="T112" s="65"/>
      <c r="U112" s="65"/>
      <c r="V112" s="65"/>
      <c r="W112" s="160"/>
      <c r="X112" s="67"/>
      <c r="Y112" s="67"/>
      <c r="Z112" s="67"/>
      <c r="AA112" s="67"/>
      <c r="AB112" s="67"/>
      <c r="AC112" s="67"/>
      <c r="AD112" s="68"/>
      <c r="AE112" s="68"/>
      <c r="AF112" s="70"/>
    </row>
    <row r="113" spans="1:32" ht="30" customHeight="1">
      <c r="A113" s="53" t="s">
        <v>19</v>
      </c>
      <c r="B113" s="37">
        <v>5</v>
      </c>
      <c r="C113" s="37">
        <v>5</v>
      </c>
      <c r="D113" s="36"/>
      <c r="E113" s="95"/>
      <c r="F113" s="95"/>
      <c r="G113" s="95"/>
      <c r="H113" s="87"/>
      <c r="I113" s="95"/>
      <c r="K113" s="301" t="s">
        <v>201</v>
      </c>
      <c r="L113" s="17">
        <f>C128+C145+C148+C146+C155+C187+C177</f>
        <v>79.5</v>
      </c>
      <c r="M113" s="70"/>
      <c r="N113" s="70"/>
      <c r="O113" s="71"/>
      <c r="P113" s="67"/>
      <c r="Q113" s="67"/>
      <c r="R113" s="67"/>
      <c r="S113" s="65"/>
      <c r="T113" s="65"/>
      <c r="U113" s="65"/>
      <c r="V113" s="65"/>
      <c r="W113" s="160"/>
      <c r="X113" s="67"/>
      <c r="Y113" s="67"/>
      <c r="Z113" s="67"/>
      <c r="AA113" s="67"/>
      <c r="AB113" s="67"/>
      <c r="AC113" s="67"/>
      <c r="AD113" s="68"/>
      <c r="AE113" s="68"/>
      <c r="AF113" s="70"/>
    </row>
    <row r="114" spans="1:32" ht="30" customHeight="1">
      <c r="A114" s="53" t="s">
        <v>96</v>
      </c>
      <c r="B114" s="37">
        <v>6</v>
      </c>
      <c r="C114" s="37">
        <v>5</v>
      </c>
      <c r="D114" s="36"/>
      <c r="E114" s="41"/>
      <c r="F114" s="41"/>
      <c r="G114" s="41"/>
      <c r="H114" s="37"/>
      <c r="I114" s="41"/>
      <c r="K114" s="301" t="s">
        <v>28</v>
      </c>
      <c r="L114" s="62">
        <f>D134</f>
        <v>150</v>
      </c>
      <c r="M114" s="70"/>
      <c r="N114" s="70"/>
      <c r="O114" s="71"/>
      <c r="P114" s="67"/>
      <c r="Q114" s="67"/>
      <c r="R114" s="67"/>
      <c r="S114" s="65"/>
      <c r="T114" s="65"/>
      <c r="U114" s="65"/>
      <c r="V114" s="65"/>
      <c r="W114" s="160"/>
      <c r="X114" s="67"/>
      <c r="Y114" s="67"/>
      <c r="Z114" s="67"/>
      <c r="AA114" s="67"/>
      <c r="AB114" s="67"/>
      <c r="AC114" s="67"/>
      <c r="AD114" s="68"/>
      <c r="AE114" s="68"/>
      <c r="AF114" s="70"/>
    </row>
    <row r="115" spans="1:32" ht="30" customHeight="1">
      <c r="A115" s="53" t="s">
        <v>11</v>
      </c>
      <c r="B115" s="37">
        <v>3</v>
      </c>
      <c r="C115" s="37">
        <v>3</v>
      </c>
      <c r="D115" s="36"/>
      <c r="E115" s="95"/>
      <c r="F115" s="95"/>
      <c r="G115" s="44"/>
      <c r="H115" s="43"/>
      <c r="I115" s="95"/>
      <c r="K115" s="301" t="s">
        <v>170</v>
      </c>
      <c r="L115" s="9"/>
      <c r="M115" s="70"/>
      <c r="N115" s="70"/>
      <c r="O115" s="71"/>
      <c r="P115" s="67"/>
      <c r="Q115" s="67"/>
      <c r="R115" s="67"/>
      <c r="S115" s="65"/>
      <c r="T115" s="65"/>
      <c r="U115" s="65"/>
      <c r="V115" s="65"/>
      <c r="W115" s="160"/>
      <c r="X115" s="67"/>
      <c r="Y115" s="67"/>
      <c r="Z115" s="67"/>
      <c r="AA115" s="67"/>
      <c r="AB115" s="67"/>
      <c r="AC115" s="67"/>
      <c r="AD115" s="68"/>
      <c r="AE115" s="68"/>
      <c r="AF115" s="70"/>
    </row>
    <row r="116" spans="1:12" s="9" customFormat="1" ht="30" customHeight="1">
      <c r="A116" s="479" t="s">
        <v>233</v>
      </c>
      <c r="B116" s="482"/>
      <c r="C116" s="482"/>
      <c r="D116" s="39">
        <v>150</v>
      </c>
      <c r="E116" s="83">
        <v>3</v>
      </c>
      <c r="F116" s="83">
        <v>3.8</v>
      </c>
      <c r="G116" s="83">
        <v>19.3</v>
      </c>
      <c r="H116" s="43">
        <f>G116*4+F116*9+E116*4</f>
        <v>123.4</v>
      </c>
      <c r="I116" s="256" t="s">
        <v>234</v>
      </c>
      <c r="K116" s="301" t="s">
        <v>202</v>
      </c>
      <c r="L116" s="6">
        <f>C133</f>
        <v>12</v>
      </c>
    </row>
    <row r="117" spans="1:12" s="9" customFormat="1" ht="30" customHeight="1">
      <c r="A117" s="53" t="s">
        <v>12</v>
      </c>
      <c r="B117" s="37">
        <f>C117*1.33</f>
        <v>170.24</v>
      </c>
      <c r="C117" s="37">
        <v>128</v>
      </c>
      <c r="D117" s="36"/>
      <c r="E117" s="95"/>
      <c r="F117" s="95"/>
      <c r="G117" s="95"/>
      <c r="H117" s="227"/>
      <c r="I117" s="255"/>
      <c r="K117" s="301" t="s">
        <v>357</v>
      </c>
      <c r="L117" s="9">
        <f>C192</f>
        <v>200</v>
      </c>
    </row>
    <row r="118" spans="1:11" s="9" customFormat="1" ht="30" customHeight="1">
      <c r="A118" s="53" t="s">
        <v>13</v>
      </c>
      <c r="B118" s="37">
        <f>C118*1.43</f>
        <v>183.04</v>
      </c>
      <c r="C118" s="37">
        <v>128</v>
      </c>
      <c r="D118" s="36"/>
      <c r="E118" s="95"/>
      <c r="F118" s="95"/>
      <c r="G118" s="95"/>
      <c r="H118" s="276"/>
      <c r="I118" s="254"/>
      <c r="K118" s="315" t="s">
        <v>29</v>
      </c>
    </row>
    <row r="119" spans="1:12" s="9" customFormat="1" ht="30" customHeight="1">
      <c r="A119" s="53" t="s">
        <v>14</v>
      </c>
      <c r="B119" s="37">
        <f>C119*1.54</f>
        <v>197.12</v>
      </c>
      <c r="C119" s="37">
        <v>128</v>
      </c>
      <c r="D119" s="36"/>
      <c r="E119" s="95"/>
      <c r="F119" s="44"/>
      <c r="G119" s="44"/>
      <c r="H119" s="274"/>
      <c r="I119" s="254"/>
      <c r="K119" s="301" t="s">
        <v>70</v>
      </c>
      <c r="L119" s="17"/>
    </row>
    <row r="120" spans="1:11" s="9" customFormat="1" ht="30" customHeight="1">
      <c r="A120" s="53" t="s">
        <v>15</v>
      </c>
      <c r="B120" s="37">
        <f>C120*1.67</f>
        <v>213.76</v>
      </c>
      <c r="C120" s="37">
        <v>128</v>
      </c>
      <c r="D120" s="36"/>
      <c r="E120" s="95"/>
      <c r="F120" s="44"/>
      <c r="G120" s="44"/>
      <c r="H120" s="274"/>
      <c r="I120" s="254"/>
      <c r="K120" s="301" t="s">
        <v>182</v>
      </c>
    </row>
    <row r="121" spans="1:13" s="9" customFormat="1" ht="30" customHeight="1">
      <c r="A121" s="53" t="s">
        <v>52</v>
      </c>
      <c r="B121" s="36">
        <v>23</v>
      </c>
      <c r="C121" s="36">
        <v>23</v>
      </c>
      <c r="D121" s="36"/>
      <c r="E121" s="41"/>
      <c r="F121" s="41"/>
      <c r="G121" s="41"/>
      <c r="H121" s="36"/>
      <c r="I121" s="336"/>
      <c r="J121" s="61"/>
      <c r="K121" s="301" t="s">
        <v>183</v>
      </c>
      <c r="L121" s="61"/>
      <c r="M121" s="61"/>
    </row>
    <row r="122" spans="1:12" s="9" customFormat="1" ht="30" customHeight="1">
      <c r="A122" s="58" t="s">
        <v>38</v>
      </c>
      <c r="B122" s="89">
        <f>B121*460/1000</f>
        <v>10.58</v>
      </c>
      <c r="C122" s="89">
        <f>C121*460/1000</f>
        <v>10.58</v>
      </c>
      <c r="D122" s="36"/>
      <c r="E122" s="95"/>
      <c r="F122" s="95"/>
      <c r="G122" s="95"/>
      <c r="H122" s="276"/>
      <c r="I122" s="254"/>
      <c r="K122" s="316" t="s">
        <v>30</v>
      </c>
      <c r="L122" s="9">
        <f>+C132</f>
        <v>1</v>
      </c>
    </row>
    <row r="123" spans="1:12" s="9" customFormat="1" ht="30" customHeight="1">
      <c r="A123" s="58" t="s">
        <v>39</v>
      </c>
      <c r="B123" s="89">
        <f>B121*120/1000</f>
        <v>2.76</v>
      </c>
      <c r="C123" s="89">
        <f>C121*120/1000</f>
        <v>2.76</v>
      </c>
      <c r="D123" s="36"/>
      <c r="E123" s="95"/>
      <c r="F123" s="95"/>
      <c r="G123" s="95"/>
      <c r="H123" s="276"/>
      <c r="I123" s="254"/>
      <c r="K123" s="301" t="s">
        <v>172</v>
      </c>
      <c r="L123" s="62">
        <f>C153</f>
        <v>17</v>
      </c>
    </row>
    <row r="124" spans="1:12" s="9" customFormat="1" ht="30" customHeight="1">
      <c r="A124" s="331" t="s">
        <v>378</v>
      </c>
      <c r="B124" s="383">
        <f>B121-B122</f>
        <v>12.42</v>
      </c>
      <c r="C124" s="383">
        <f>C121-C122</f>
        <v>12.42</v>
      </c>
      <c r="D124" s="36"/>
      <c r="E124" s="95"/>
      <c r="F124" s="95"/>
      <c r="G124" s="95"/>
      <c r="H124" s="276"/>
      <c r="I124" s="254"/>
      <c r="K124" s="301" t="s">
        <v>174</v>
      </c>
      <c r="L124" s="62"/>
    </row>
    <row r="125" spans="1:12" s="9" customFormat="1" ht="30" customHeight="1">
      <c r="A125" s="331" t="s">
        <v>379</v>
      </c>
      <c r="B125" s="383">
        <f>B121-B123</f>
        <v>20.240000000000002</v>
      </c>
      <c r="C125" s="383">
        <f>C121-C123</f>
        <v>20.240000000000002</v>
      </c>
      <c r="D125" s="36"/>
      <c r="E125" s="95"/>
      <c r="F125" s="95"/>
      <c r="G125" s="95"/>
      <c r="H125" s="276"/>
      <c r="I125" s="255"/>
      <c r="K125" s="301" t="s">
        <v>173</v>
      </c>
      <c r="L125" s="61">
        <f>C173</f>
        <v>75</v>
      </c>
    </row>
    <row r="126" spans="1:12" ht="30" customHeight="1">
      <c r="A126" s="51" t="s">
        <v>19</v>
      </c>
      <c r="B126" s="35">
        <v>5</v>
      </c>
      <c r="C126" s="35">
        <v>5</v>
      </c>
      <c r="D126" s="36"/>
      <c r="E126" s="95"/>
      <c r="F126" s="95"/>
      <c r="G126" s="95"/>
      <c r="H126" s="276"/>
      <c r="J126" s="9"/>
      <c r="K126" s="301" t="s">
        <v>175</v>
      </c>
      <c r="L126" s="17">
        <f>C107</f>
        <v>113</v>
      </c>
    </row>
    <row r="127" spans="1:12" ht="30" customHeight="1">
      <c r="A127" s="476" t="s">
        <v>363</v>
      </c>
      <c r="B127" s="476"/>
      <c r="C127" s="476"/>
      <c r="D127" s="23">
        <v>30</v>
      </c>
      <c r="E127" s="109">
        <v>0.3</v>
      </c>
      <c r="F127" s="109">
        <v>0.1</v>
      </c>
      <c r="G127" s="109">
        <v>1.2</v>
      </c>
      <c r="H127" s="238">
        <f>E127*4+F127*9+G127*4</f>
        <v>6.9</v>
      </c>
      <c r="I127" s="270" t="s">
        <v>223</v>
      </c>
      <c r="K127" s="305" t="s">
        <v>80</v>
      </c>
      <c r="L127" s="62">
        <f>C121</f>
        <v>23</v>
      </c>
    </row>
    <row r="128" spans="1:11" ht="30" customHeight="1">
      <c r="A128" s="56" t="s">
        <v>98</v>
      </c>
      <c r="B128" s="37">
        <f>C128*1.02</f>
        <v>30.6</v>
      </c>
      <c r="C128" s="60">
        <v>30</v>
      </c>
      <c r="D128" s="224"/>
      <c r="E128" s="109"/>
      <c r="F128" s="109"/>
      <c r="G128" s="109"/>
      <c r="H128" s="23"/>
      <c r="I128" s="258"/>
      <c r="K128" s="307" t="s">
        <v>176</v>
      </c>
    </row>
    <row r="129" spans="1:28" ht="30" customHeight="1">
      <c r="A129" s="53" t="s">
        <v>99</v>
      </c>
      <c r="B129" s="37">
        <f>C129*1.18</f>
        <v>35.4</v>
      </c>
      <c r="C129" s="60">
        <v>30</v>
      </c>
      <c r="D129" s="224"/>
      <c r="E129" s="44"/>
      <c r="F129" s="44"/>
      <c r="G129" s="44"/>
      <c r="H129" s="44"/>
      <c r="I129" s="258"/>
      <c r="J129" s="9"/>
      <c r="K129" s="301" t="s">
        <v>177</v>
      </c>
      <c r="L129" s="9"/>
      <c r="M129" s="498"/>
      <c r="N129" s="498"/>
      <c r="O129" s="498"/>
      <c r="P129" s="185"/>
      <c r="Q129" s="186"/>
      <c r="R129" s="186"/>
      <c r="S129" s="186"/>
      <c r="T129" s="187"/>
      <c r="U129" s="188"/>
      <c r="V129" s="186"/>
      <c r="W129" s="186"/>
      <c r="X129" s="186"/>
      <c r="Y129" s="186"/>
      <c r="Z129" s="186"/>
      <c r="AA129" s="186"/>
      <c r="AB129" s="186"/>
    </row>
    <row r="130" spans="1:28" ht="30" customHeight="1">
      <c r="A130" s="56" t="s">
        <v>111</v>
      </c>
      <c r="B130" s="90">
        <f>C130*1.82</f>
        <v>54.6</v>
      </c>
      <c r="C130" s="60">
        <v>30</v>
      </c>
      <c r="D130" s="224"/>
      <c r="E130" s="44"/>
      <c r="F130" s="44"/>
      <c r="G130" s="44"/>
      <c r="H130" s="44"/>
      <c r="I130" s="258"/>
      <c r="J130" s="9"/>
      <c r="K130" s="301" t="s">
        <v>31</v>
      </c>
      <c r="L130" s="17">
        <f>C170+C184</f>
        <v>17.5</v>
      </c>
      <c r="M130" s="189"/>
      <c r="N130" s="190"/>
      <c r="O130" s="190"/>
      <c r="P130" s="191"/>
      <c r="Q130" s="192"/>
      <c r="R130" s="192"/>
      <c r="S130" s="192"/>
      <c r="T130" s="191"/>
      <c r="U130" s="193"/>
      <c r="V130" s="193"/>
      <c r="W130" s="193"/>
      <c r="X130" s="193"/>
      <c r="Y130" s="193"/>
      <c r="Z130" s="193"/>
      <c r="AA130" s="193"/>
      <c r="AB130" s="193"/>
    </row>
    <row r="131" spans="1:28" ht="30" customHeight="1">
      <c r="A131" s="469" t="s">
        <v>225</v>
      </c>
      <c r="B131" s="469"/>
      <c r="C131" s="469"/>
      <c r="D131" s="21">
        <v>200</v>
      </c>
      <c r="E131" s="21">
        <v>0.2</v>
      </c>
      <c r="F131" s="110">
        <v>0</v>
      </c>
      <c r="G131" s="21">
        <v>11.9</v>
      </c>
      <c r="H131" s="21">
        <v>53</v>
      </c>
      <c r="I131" s="256" t="s">
        <v>226</v>
      </c>
      <c r="J131" s="9"/>
      <c r="K131" s="301" t="s">
        <v>178</v>
      </c>
      <c r="L131" s="17">
        <f>C114</f>
        <v>5</v>
      </c>
      <c r="M131" s="189"/>
      <c r="N131" s="190"/>
      <c r="O131" s="190"/>
      <c r="P131" s="191"/>
      <c r="Q131" s="192"/>
      <c r="R131" s="192"/>
      <c r="S131" s="192"/>
      <c r="T131" s="192"/>
      <c r="U131" s="192"/>
      <c r="V131" s="192"/>
      <c r="W131" s="192"/>
      <c r="X131" s="192"/>
      <c r="Y131" s="192"/>
      <c r="Z131" s="192"/>
      <c r="AA131" s="192"/>
      <c r="AB131" s="192"/>
    </row>
    <row r="132" spans="1:28" ht="30" customHeight="1">
      <c r="A132" s="51" t="s">
        <v>110</v>
      </c>
      <c r="B132" s="5">
        <v>1</v>
      </c>
      <c r="C132" s="5">
        <v>1</v>
      </c>
      <c r="D132" s="5"/>
      <c r="E132" s="5"/>
      <c r="F132" s="5"/>
      <c r="G132" s="5"/>
      <c r="H132" s="5"/>
      <c r="J132" s="9"/>
      <c r="K132" s="301" t="s">
        <v>32</v>
      </c>
      <c r="L132" s="62">
        <f>C169+C113+C126+C191</f>
        <v>19</v>
      </c>
      <c r="M132" s="16"/>
      <c r="N132" s="194"/>
      <c r="O132" s="65"/>
      <c r="P132" s="191"/>
      <c r="Q132" s="192"/>
      <c r="R132" s="192"/>
      <c r="S132" s="192"/>
      <c r="T132" s="191"/>
      <c r="U132" s="193"/>
      <c r="V132" s="193"/>
      <c r="W132" s="193"/>
      <c r="X132" s="193"/>
      <c r="Y132" s="193"/>
      <c r="Z132" s="193"/>
      <c r="AA132" s="193"/>
      <c r="AB132" s="193"/>
    </row>
    <row r="133" spans="1:28" s="9" customFormat="1" ht="30" customHeight="1">
      <c r="A133" s="51" t="s">
        <v>4</v>
      </c>
      <c r="B133" s="5">
        <v>12</v>
      </c>
      <c r="C133" s="5">
        <v>12</v>
      </c>
      <c r="D133" s="5"/>
      <c r="E133" s="5"/>
      <c r="F133" s="5"/>
      <c r="G133" s="43"/>
      <c r="H133" s="274"/>
      <c r="I133" s="255"/>
      <c r="K133" s="301" t="s">
        <v>33</v>
      </c>
      <c r="L133" s="62">
        <f>C150+C115+C178+C182</f>
        <v>13</v>
      </c>
      <c r="M133" s="16"/>
      <c r="N133" s="192"/>
      <c r="O133" s="191"/>
      <c r="P133" s="191"/>
      <c r="Q133" s="192"/>
      <c r="R133" s="186"/>
      <c r="S133" s="186"/>
      <c r="T133" s="185"/>
      <c r="U133" s="195"/>
      <c r="V133" s="195"/>
      <c r="W133" s="195"/>
      <c r="X133" s="195"/>
      <c r="Y133" s="195"/>
      <c r="Z133" s="195"/>
      <c r="AA133" s="195"/>
      <c r="AB133" s="195"/>
    </row>
    <row r="134" spans="1:28" s="9" customFormat="1" ht="30" customHeight="1">
      <c r="A134" s="476" t="s">
        <v>94</v>
      </c>
      <c r="B134" s="482"/>
      <c r="C134" s="482"/>
      <c r="D134" s="26">
        <v>150</v>
      </c>
      <c r="E134" s="45">
        <v>0.2</v>
      </c>
      <c r="F134" s="45">
        <v>0</v>
      </c>
      <c r="G134" s="45">
        <v>8.6</v>
      </c>
      <c r="H134" s="43">
        <f>E134*4+F134*9+G134*4</f>
        <v>35.199999999999996</v>
      </c>
      <c r="I134" s="256" t="s">
        <v>205</v>
      </c>
      <c r="K134" s="301" t="s">
        <v>179</v>
      </c>
      <c r="L134" s="62">
        <f>C157+C147+C180</f>
        <v>30.2</v>
      </c>
      <c r="M134" s="189"/>
      <c r="N134" s="190"/>
      <c r="O134" s="196"/>
      <c r="P134" s="191"/>
      <c r="Q134" s="192"/>
      <c r="R134" s="186"/>
      <c r="S134" s="186"/>
      <c r="T134" s="185"/>
      <c r="U134" s="195"/>
      <c r="V134" s="195"/>
      <c r="W134" s="195"/>
      <c r="X134" s="195"/>
      <c r="Y134" s="195"/>
      <c r="Z134" s="195"/>
      <c r="AA134" s="195"/>
      <c r="AB134" s="195"/>
    </row>
    <row r="135" spans="1:28" ht="30" customHeight="1">
      <c r="A135" s="330" t="s">
        <v>20</v>
      </c>
      <c r="B135" s="25">
        <v>20</v>
      </c>
      <c r="C135" s="25">
        <v>20</v>
      </c>
      <c r="D135" s="39">
        <v>20</v>
      </c>
      <c r="E135" s="342">
        <v>0.9</v>
      </c>
      <c r="F135" s="342">
        <v>0.2</v>
      </c>
      <c r="G135" s="342">
        <v>8.7</v>
      </c>
      <c r="H135" s="343">
        <v>41</v>
      </c>
      <c r="I135" s="344"/>
      <c r="K135" s="301" t="s">
        <v>334</v>
      </c>
      <c r="M135" s="345"/>
      <c r="N135" s="346"/>
      <c r="O135" s="346"/>
      <c r="P135" s="65"/>
      <c r="Q135" s="194"/>
      <c r="R135" s="12"/>
      <c r="S135" s="12"/>
      <c r="T135" s="347"/>
      <c r="U135" s="348"/>
      <c r="V135" s="348"/>
      <c r="W135" s="348"/>
      <c r="X135" s="348"/>
      <c r="Y135" s="348"/>
      <c r="Z135" s="348"/>
      <c r="AA135" s="348"/>
      <c r="AB135" s="348"/>
    </row>
    <row r="136" spans="1:28" s="9" customFormat="1" ht="30" customHeight="1">
      <c r="A136" s="483" t="s">
        <v>74</v>
      </c>
      <c r="B136" s="483"/>
      <c r="C136" s="483"/>
      <c r="D136" s="274">
        <v>20</v>
      </c>
      <c r="E136" s="44"/>
      <c r="F136" s="44"/>
      <c r="G136" s="44"/>
      <c r="H136" s="44"/>
      <c r="I136" s="254"/>
      <c r="K136" s="301" t="s">
        <v>181</v>
      </c>
      <c r="L136" s="15">
        <v>1.5</v>
      </c>
      <c r="M136" s="189"/>
      <c r="N136" s="197"/>
      <c r="O136" s="197"/>
      <c r="P136" s="191"/>
      <c r="Q136" s="198"/>
      <c r="R136" s="198"/>
      <c r="S136" s="198"/>
      <c r="T136" s="198"/>
      <c r="U136" s="199"/>
      <c r="V136" s="199"/>
      <c r="W136" s="199"/>
      <c r="X136" s="199"/>
      <c r="Y136" s="199"/>
      <c r="Z136" s="199"/>
      <c r="AA136" s="199"/>
      <c r="AB136" s="199"/>
    </row>
    <row r="137" spans="1:28" ht="30" customHeight="1">
      <c r="A137" s="203" t="s">
        <v>26</v>
      </c>
      <c r="B137" s="36">
        <v>20</v>
      </c>
      <c r="C137" s="36">
        <v>20</v>
      </c>
      <c r="D137" s="23">
        <v>20</v>
      </c>
      <c r="E137" s="109">
        <v>0.7</v>
      </c>
      <c r="F137" s="109">
        <v>0.2</v>
      </c>
      <c r="G137" s="109">
        <v>9.4</v>
      </c>
      <c r="H137" s="238">
        <v>41.3</v>
      </c>
      <c r="K137" s="301" t="s">
        <v>180</v>
      </c>
      <c r="L137" s="15">
        <v>1</v>
      </c>
      <c r="M137" s="349"/>
      <c r="N137" s="346"/>
      <c r="O137" s="346"/>
      <c r="P137" s="65"/>
      <c r="Q137" s="194"/>
      <c r="R137" s="12"/>
      <c r="S137" s="12"/>
      <c r="T137" s="347"/>
      <c r="U137" s="348"/>
      <c r="V137" s="348"/>
      <c r="W137" s="348"/>
      <c r="X137" s="348"/>
      <c r="Y137" s="348"/>
      <c r="Z137" s="348"/>
      <c r="AA137" s="348"/>
      <c r="AB137" s="348"/>
    </row>
    <row r="138" spans="1:11" s="9" customFormat="1" ht="30" customHeight="1">
      <c r="A138" s="485" t="s">
        <v>57</v>
      </c>
      <c r="B138" s="485"/>
      <c r="C138" s="485"/>
      <c r="D138" s="245">
        <f>D139+270+140+D188+D192</f>
        <v>820</v>
      </c>
      <c r="E138" s="99">
        <f>E139+E151+E172+E188+E192+E198+E200</f>
        <v>25.25</v>
      </c>
      <c r="F138" s="99">
        <f>F139+F151+F172+F188+F192+F198+F200</f>
        <v>27.300000000000004</v>
      </c>
      <c r="G138" s="99">
        <f>G139+G151+G172+G188+G192+G198+G200</f>
        <v>119.6</v>
      </c>
      <c r="H138" s="96">
        <f>H139+H151+H172+H188+H192+H198+H200</f>
        <v>823.4</v>
      </c>
      <c r="I138" s="254"/>
      <c r="K138" s="313"/>
    </row>
    <row r="139" spans="1:9" ht="30" customHeight="1">
      <c r="A139" s="476" t="s">
        <v>274</v>
      </c>
      <c r="B139" s="476"/>
      <c r="C139" s="476"/>
      <c r="D139" s="23">
        <v>60</v>
      </c>
      <c r="E139" s="109">
        <v>1.9</v>
      </c>
      <c r="F139" s="109">
        <v>3.9</v>
      </c>
      <c r="G139" s="109">
        <v>5.9</v>
      </c>
      <c r="H139" s="238">
        <f>E139*4+F139*9+G139*4</f>
        <v>66.30000000000001</v>
      </c>
      <c r="I139" s="270" t="s">
        <v>275</v>
      </c>
    </row>
    <row r="140" spans="1:10" ht="30" customHeight="1">
      <c r="A140" s="51" t="s">
        <v>12</v>
      </c>
      <c r="B140" s="35">
        <f>C140*1.33</f>
        <v>43.89</v>
      </c>
      <c r="C140" s="36">
        <v>33</v>
      </c>
      <c r="D140" s="135"/>
      <c r="E140" s="134"/>
      <c r="F140" s="134"/>
      <c r="G140" s="134"/>
      <c r="H140" s="134"/>
      <c r="I140" s="254"/>
      <c r="J140" s="9"/>
    </row>
    <row r="141" spans="1:11" s="9" customFormat="1" ht="30" customHeight="1">
      <c r="A141" s="51" t="s">
        <v>13</v>
      </c>
      <c r="B141" s="35">
        <f>C141*1.43</f>
        <v>47.19</v>
      </c>
      <c r="C141" s="36">
        <v>33</v>
      </c>
      <c r="D141" s="135"/>
      <c r="E141" s="134"/>
      <c r="F141" s="134"/>
      <c r="G141" s="134"/>
      <c r="H141" s="134"/>
      <c r="I141" s="254"/>
      <c r="K141" s="313"/>
    </row>
    <row r="142" spans="1:11" s="9" customFormat="1" ht="30" customHeight="1">
      <c r="A142" s="51" t="s">
        <v>14</v>
      </c>
      <c r="B142" s="35">
        <f>C142*1.54</f>
        <v>50.82</v>
      </c>
      <c r="C142" s="36">
        <v>33</v>
      </c>
      <c r="D142" s="135"/>
      <c r="E142" s="134"/>
      <c r="F142" s="134"/>
      <c r="G142" s="134"/>
      <c r="H142" s="134"/>
      <c r="I142" s="254"/>
      <c r="K142" s="313"/>
    </row>
    <row r="143" spans="1:11" s="9" customFormat="1" ht="30" customHeight="1">
      <c r="A143" s="53" t="s">
        <v>15</v>
      </c>
      <c r="B143" s="35">
        <f>C143*1.67</f>
        <v>55.11</v>
      </c>
      <c r="C143" s="36">
        <v>33</v>
      </c>
      <c r="D143" s="135"/>
      <c r="E143" s="154"/>
      <c r="F143" s="154"/>
      <c r="G143" s="134"/>
      <c r="H143" s="134"/>
      <c r="I143" s="254"/>
      <c r="K143" s="313"/>
    </row>
    <row r="144" spans="1:11" s="9" customFormat="1" ht="30" customHeight="1">
      <c r="A144" s="53" t="s">
        <v>276</v>
      </c>
      <c r="B144" s="35"/>
      <c r="C144" s="36">
        <v>30</v>
      </c>
      <c r="D144" s="23"/>
      <c r="E144" s="44"/>
      <c r="F144" s="44"/>
      <c r="G144" s="44"/>
      <c r="H144" s="274"/>
      <c r="I144" s="258"/>
      <c r="K144" s="313"/>
    </row>
    <row r="145" spans="1:11" s="9" customFormat="1" ht="30" customHeight="1">
      <c r="A145" s="51" t="s">
        <v>108</v>
      </c>
      <c r="B145" s="35">
        <f>C145*1.82</f>
        <v>12.74</v>
      </c>
      <c r="C145" s="36">
        <v>7</v>
      </c>
      <c r="D145" s="135"/>
      <c r="E145" s="134"/>
      <c r="F145" s="134"/>
      <c r="G145" s="134"/>
      <c r="H145" s="134"/>
      <c r="I145" s="254"/>
      <c r="K145" s="313"/>
    </row>
    <row r="146" spans="1:11" s="9" customFormat="1" ht="30" customHeight="1">
      <c r="A146" s="56" t="s">
        <v>50</v>
      </c>
      <c r="B146" s="35">
        <f>C146*1.54</f>
        <v>9.24</v>
      </c>
      <c r="C146" s="36">
        <v>6</v>
      </c>
      <c r="D146" s="135"/>
      <c r="E146" s="134"/>
      <c r="F146" s="134"/>
      <c r="G146" s="134"/>
      <c r="H146" s="134"/>
      <c r="I146" s="254"/>
      <c r="K146" s="313"/>
    </row>
    <row r="147" spans="1:11" s="9" customFormat="1" ht="30" customHeight="1">
      <c r="A147" s="53" t="s">
        <v>84</v>
      </c>
      <c r="B147" s="35">
        <v>12</v>
      </c>
      <c r="C147" s="36">
        <v>12</v>
      </c>
      <c r="D147" s="135"/>
      <c r="E147" s="154"/>
      <c r="F147" s="134"/>
      <c r="G147" s="134"/>
      <c r="H147" s="134"/>
      <c r="I147" s="254"/>
      <c r="K147" s="313"/>
    </row>
    <row r="148" spans="1:11" s="9" customFormat="1" ht="30" customHeight="1">
      <c r="A148" s="51" t="s">
        <v>18</v>
      </c>
      <c r="B148" s="35">
        <f>C148*1.19</f>
        <v>4.76</v>
      </c>
      <c r="C148" s="35">
        <v>4</v>
      </c>
      <c r="D148" s="135"/>
      <c r="E148" s="134"/>
      <c r="F148" s="134"/>
      <c r="G148" s="134"/>
      <c r="H148" s="134"/>
      <c r="I148" s="254"/>
      <c r="K148" s="313"/>
    </row>
    <row r="149" spans="1:10" ht="30" customHeight="1">
      <c r="A149" s="484" t="s">
        <v>361</v>
      </c>
      <c r="B149" s="484"/>
      <c r="C149" s="484"/>
      <c r="D149" s="23"/>
      <c r="E149" s="95"/>
      <c r="F149" s="95"/>
      <c r="G149" s="95"/>
      <c r="H149" s="87"/>
      <c r="I149" s="253"/>
      <c r="J149" s="9"/>
    </row>
    <row r="150" spans="1:10" ht="30" customHeight="1">
      <c r="A150" s="51" t="s">
        <v>11</v>
      </c>
      <c r="B150" s="5">
        <v>3</v>
      </c>
      <c r="C150" s="5">
        <v>3</v>
      </c>
      <c r="D150" s="135"/>
      <c r="E150" s="134"/>
      <c r="F150" s="134"/>
      <c r="G150" s="134"/>
      <c r="H150" s="134"/>
      <c r="I150" s="254"/>
      <c r="J150" s="9"/>
    </row>
    <row r="151" spans="1:10" ht="30" customHeight="1">
      <c r="A151" s="497" t="s">
        <v>474</v>
      </c>
      <c r="B151" s="482"/>
      <c r="C151" s="482"/>
      <c r="D151" s="178" t="s">
        <v>129</v>
      </c>
      <c r="E151" s="44">
        <v>4.2</v>
      </c>
      <c r="F151" s="274">
        <v>5.1</v>
      </c>
      <c r="G151" s="44">
        <v>12.7</v>
      </c>
      <c r="H151" s="238">
        <f>E151*4+F151*9+G151*4</f>
        <v>113.5</v>
      </c>
      <c r="I151" s="256" t="s">
        <v>310</v>
      </c>
      <c r="J151" s="9"/>
    </row>
    <row r="152" spans="1:11" s="7" customFormat="1" ht="30" customHeight="1">
      <c r="A152" s="179" t="s">
        <v>220</v>
      </c>
      <c r="B152" s="156"/>
      <c r="C152" s="178">
        <v>15</v>
      </c>
      <c r="D152" s="178"/>
      <c r="E152" s="44"/>
      <c r="F152" s="274"/>
      <c r="G152" s="44"/>
      <c r="H152" s="43"/>
      <c r="I152" s="256" t="s">
        <v>221</v>
      </c>
      <c r="J152" s="9"/>
      <c r="K152" s="319"/>
    </row>
    <row r="153" spans="1:10" ht="30" customHeight="1">
      <c r="A153" s="86" t="s">
        <v>86</v>
      </c>
      <c r="B153" s="48">
        <f>C153*1.36</f>
        <v>23.12</v>
      </c>
      <c r="C153" s="5">
        <v>17</v>
      </c>
      <c r="D153" s="31"/>
      <c r="E153" s="85"/>
      <c r="F153" s="85"/>
      <c r="G153" s="85"/>
      <c r="H153" s="240"/>
      <c r="I153" s="254"/>
      <c r="J153" s="9"/>
    </row>
    <row r="154" spans="1:10" ht="30" customHeight="1">
      <c r="A154" s="86" t="s">
        <v>87</v>
      </c>
      <c r="B154" s="48">
        <f>C154*1.18</f>
        <v>20.06</v>
      </c>
      <c r="C154" s="35">
        <v>17</v>
      </c>
      <c r="D154" s="31"/>
      <c r="E154" s="85"/>
      <c r="F154" s="85"/>
      <c r="G154" s="85"/>
      <c r="H154" s="240"/>
      <c r="I154" s="254"/>
      <c r="J154" s="9"/>
    </row>
    <row r="155" spans="1:10" ht="30" customHeight="1">
      <c r="A155" s="51" t="s">
        <v>18</v>
      </c>
      <c r="B155" s="87">
        <f>C155*1.19</f>
        <v>1.785</v>
      </c>
      <c r="C155" s="95">
        <v>1.5</v>
      </c>
      <c r="D155" s="149"/>
      <c r="E155" s="85"/>
      <c r="F155" s="85"/>
      <c r="G155" s="85"/>
      <c r="H155" s="240"/>
      <c r="I155" s="254"/>
      <c r="J155" s="9"/>
    </row>
    <row r="156" spans="1:11" s="9" customFormat="1" ht="30" customHeight="1">
      <c r="A156" s="51" t="s">
        <v>62</v>
      </c>
      <c r="B156" s="95">
        <v>1.5</v>
      </c>
      <c r="C156" s="95">
        <v>1.5</v>
      </c>
      <c r="D156" s="149"/>
      <c r="E156" s="85"/>
      <c r="F156" s="85"/>
      <c r="G156" s="85"/>
      <c r="H156" s="240"/>
      <c r="I156" s="254"/>
      <c r="K156" s="313"/>
    </row>
    <row r="157" spans="1:11" s="9" customFormat="1" ht="30" customHeight="1">
      <c r="A157" s="51" t="s">
        <v>84</v>
      </c>
      <c r="B157" s="95">
        <v>1.2</v>
      </c>
      <c r="C157" s="95">
        <v>1.2</v>
      </c>
      <c r="D157" s="149"/>
      <c r="E157" s="85"/>
      <c r="F157" s="85"/>
      <c r="G157" s="85"/>
      <c r="H157" s="240"/>
      <c r="I157" s="254"/>
      <c r="K157" s="313"/>
    </row>
    <row r="158" spans="1:11" s="9" customFormat="1" ht="30" customHeight="1">
      <c r="A158" s="51" t="s">
        <v>17</v>
      </c>
      <c r="B158" s="5">
        <f>C158*1.25</f>
        <v>50</v>
      </c>
      <c r="C158" s="5">
        <v>40</v>
      </c>
      <c r="D158" s="36"/>
      <c r="E158" s="95"/>
      <c r="F158" s="95"/>
      <c r="G158" s="95"/>
      <c r="H158" s="276"/>
      <c r="I158" s="254"/>
      <c r="K158" s="313"/>
    </row>
    <row r="159" spans="1:11" s="9" customFormat="1" ht="30" customHeight="1">
      <c r="A159" s="51" t="s">
        <v>16</v>
      </c>
      <c r="B159" s="35">
        <f>C159*1.33</f>
        <v>53.2</v>
      </c>
      <c r="C159" s="5">
        <v>40</v>
      </c>
      <c r="D159" s="36"/>
      <c r="E159" s="95"/>
      <c r="F159" s="95"/>
      <c r="G159" s="281"/>
      <c r="H159" s="280"/>
      <c r="I159" s="254"/>
      <c r="K159" s="313"/>
    </row>
    <row r="160" spans="1:11" s="9" customFormat="1" ht="30" customHeight="1">
      <c r="A160" s="51" t="s">
        <v>55</v>
      </c>
      <c r="B160" s="5">
        <f>C160*1.25</f>
        <v>25</v>
      </c>
      <c r="C160" s="5">
        <v>20</v>
      </c>
      <c r="D160" s="36"/>
      <c r="E160" s="95"/>
      <c r="F160" s="95"/>
      <c r="G160" s="95"/>
      <c r="H160" s="280"/>
      <c r="I160" s="254"/>
      <c r="K160" s="313"/>
    </row>
    <row r="161" spans="1:11" s="9" customFormat="1" ht="30" customHeight="1">
      <c r="A161" s="51" t="s">
        <v>12</v>
      </c>
      <c r="B161" s="35">
        <f>C161*1.33</f>
        <v>26.6</v>
      </c>
      <c r="C161" s="5">
        <v>20</v>
      </c>
      <c r="D161" s="36"/>
      <c r="E161" s="95"/>
      <c r="F161" s="95"/>
      <c r="G161" s="281"/>
      <c r="H161" s="280"/>
      <c r="I161" s="254"/>
      <c r="K161" s="313"/>
    </row>
    <row r="162" spans="1:12" s="9" customFormat="1" ht="30" customHeight="1">
      <c r="A162" s="51" t="s">
        <v>13</v>
      </c>
      <c r="B162" s="35">
        <f>C162*1.43</f>
        <v>28.599999999999998</v>
      </c>
      <c r="C162" s="5">
        <v>20</v>
      </c>
      <c r="D162" s="36"/>
      <c r="E162" s="95"/>
      <c r="F162" s="95"/>
      <c r="G162" s="281"/>
      <c r="H162" s="280"/>
      <c r="I162" s="254"/>
      <c r="K162" s="313"/>
      <c r="L162" s="111"/>
    </row>
    <row r="163" spans="1:12" ht="30" customHeight="1">
      <c r="A163" s="53" t="s">
        <v>14</v>
      </c>
      <c r="B163" s="35">
        <f>C163*1.54</f>
        <v>30.8</v>
      </c>
      <c r="C163" s="5">
        <v>20</v>
      </c>
      <c r="D163" s="36"/>
      <c r="E163" s="95"/>
      <c r="F163" s="95"/>
      <c r="G163" s="281"/>
      <c r="H163" s="280"/>
      <c r="I163" s="254"/>
      <c r="J163" s="9"/>
      <c r="K163" s="313"/>
      <c r="L163" s="9"/>
    </row>
    <row r="164" spans="1:12" s="9" customFormat="1" ht="30" customHeight="1">
      <c r="A164" s="53" t="s">
        <v>15</v>
      </c>
      <c r="B164" s="35">
        <f>C164*1.67</f>
        <v>33.4</v>
      </c>
      <c r="C164" s="5">
        <v>20</v>
      </c>
      <c r="D164" s="36"/>
      <c r="E164" s="83"/>
      <c r="F164" s="83"/>
      <c r="G164" s="83"/>
      <c r="H164" s="43"/>
      <c r="I164" s="254"/>
      <c r="K164" s="313"/>
      <c r="L164" s="1"/>
    </row>
    <row r="165" spans="1:12" s="162" customFormat="1" ht="30" customHeight="1">
      <c r="A165" s="51" t="s">
        <v>60</v>
      </c>
      <c r="B165" s="5">
        <f>C165*1.25</f>
        <v>12.5</v>
      </c>
      <c r="C165" s="5">
        <v>10</v>
      </c>
      <c r="D165" s="36"/>
      <c r="E165" s="95"/>
      <c r="F165" s="95"/>
      <c r="G165" s="95"/>
      <c r="H165" s="276"/>
      <c r="I165" s="254"/>
      <c r="J165" s="15"/>
      <c r="K165" s="317"/>
      <c r="L165" s="1"/>
    </row>
    <row r="166" spans="1:12" ht="30" customHeight="1">
      <c r="A166" s="51" t="s">
        <v>16</v>
      </c>
      <c r="B166" s="40">
        <f>C166*1.33</f>
        <v>13.3</v>
      </c>
      <c r="C166" s="5">
        <v>10</v>
      </c>
      <c r="D166" s="36"/>
      <c r="E166" s="95"/>
      <c r="F166" s="95"/>
      <c r="G166" s="95"/>
      <c r="H166" s="276"/>
      <c r="I166" s="254"/>
      <c r="J166" s="15"/>
      <c r="K166" s="317"/>
      <c r="L166" s="1"/>
    </row>
    <row r="167" spans="1:12" s="9" customFormat="1" ht="30" customHeight="1">
      <c r="A167" s="51" t="s">
        <v>18</v>
      </c>
      <c r="B167" s="37">
        <f>C167*1.19</f>
        <v>11.899999999999999</v>
      </c>
      <c r="C167" s="5">
        <v>10</v>
      </c>
      <c r="D167" s="36"/>
      <c r="E167" s="95"/>
      <c r="F167" s="95"/>
      <c r="G167" s="95"/>
      <c r="H167" s="276"/>
      <c r="I167" s="254"/>
      <c r="J167" s="15"/>
      <c r="K167" s="317"/>
      <c r="L167" s="1"/>
    </row>
    <row r="168" spans="1:12" ht="30" customHeight="1">
      <c r="A168" s="57" t="s">
        <v>54</v>
      </c>
      <c r="B168" s="35">
        <v>7</v>
      </c>
      <c r="C168" s="5">
        <v>7</v>
      </c>
      <c r="D168" s="36"/>
      <c r="E168" s="95"/>
      <c r="F168" s="95"/>
      <c r="G168" s="95"/>
      <c r="H168" s="276"/>
      <c r="I168" s="254"/>
      <c r="J168" s="15"/>
      <c r="K168" s="317"/>
      <c r="L168" s="1"/>
    </row>
    <row r="169" spans="1:12" ht="30" customHeight="1">
      <c r="A169" s="51" t="s">
        <v>19</v>
      </c>
      <c r="B169" s="5">
        <v>5</v>
      </c>
      <c r="C169" s="5">
        <v>5</v>
      </c>
      <c r="D169" s="36"/>
      <c r="E169" s="95"/>
      <c r="F169" s="95"/>
      <c r="G169" s="95"/>
      <c r="H169" s="276"/>
      <c r="I169" s="254"/>
      <c r="J169" s="15"/>
      <c r="K169" s="317"/>
      <c r="L169" s="63"/>
    </row>
    <row r="170" spans="1:12" ht="30" customHeight="1">
      <c r="A170" s="51" t="s">
        <v>56</v>
      </c>
      <c r="B170" s="5">
        <v>5</v>
      </c>
      <c r="C170" s="5">
        <v>5</v>
      </c>
      <c r="D170" s="5"/>
      <c r="E170" s="95"/>
      <c r="F170" s="95"/>
      <c r="G170" s="95"/>
      <c r="H170" s="276"/>
      <c r="I170" s="254"/>
      <c r="J170" s="15"/>
      <c r="K170" s="317"/>
      <c r="L170" s="63"/>
    </row>
    <row r="171" spans="1:12" ht="30" customHeight="1">
      <c r="A171" s="53" t="s">
        <v>72</v>
      </c>
      <c r="B171" s="40">
        <v>0.2</v>
      </c>
      <c r="C171" s="40">
        <v>0.2</v>
      </c>
      <c r="D171" s="31"/>
      <c r="E171" s="85"/>
      <c r="F171" s="85"/>
      <c r="G171" s="85"/>
      <c r="H171" s="240"/>
      <c r="I171" s="281"/>
      <c r="J171" s="15"/>
      <c r="K171" s="317"/>
      <c r="L171" s="1"/>
    </row>
    <row r="172" spans="1:12" ht="30" customHeight="1">
      <c r="A172" s="469" t="s">
        <v>382</v>
      </c>
      <c r="B172" s="469"/>
      <c r="C172" s="469"/>
      <c r="D172" s="21" t="s">
        <v>485</v>
      </c>
      <c r="E172" s="109">
        <v>12.5</v>
      </c>
      <c r="F172" s="109">
        <v>14</v>
      </c>
      <c r="G172" s="109">
        <v>11.7</v>
      </c>
      <c r="H172" s="238">
        <f>G172*4+F172*9+E172*4</f>
        <v>222.8</v>
      </c>
      <c r="I172" s="256" t="s">
        <v>380</v>
      </c>
      <c r="J172" s="15"/>
      <c r="K172" s="317"/>
      <c r="L172" s="63"/>
    </row>
    <row r="173" spans="1:12" ht="30" customHeight="1">
      <c r="A173" s="86" t="s">
        <v>91</v>
      </c>
      <c r="B173" s="48">
        <f>C174*1.79</f>
        <v>89.5</v>
      </c>
      <c r="C173" s="87">
        <v>75</v>
      </c>
      <c r="D173" s="35"/>
      <c r="E173" s="384"/>
      <c r="F173" s="384"/>
      <c r="G173" s="384"/>
      <c r="H173" s="385"/>
      <c r="I173" s="254"/>
      <c r="J173" s="15"/>
      <c r="K173" s="317"/>
      <c r="L173" s="63"/>
    </row>
    <row r="174" spans="1:12" ht="30" customHeight="1">
      <c r="A174" s="53" t="s">
        <v>484</v>
      </c>
      <c r="B174" s="37"/>
      <c r="C174" s="87">
        <v>50</v>
      </c>
      <c r="D174" s="35"/>
      <c r="E174" s="384"/>
      <c r="F174" s="384"/>
      <c r="G174" s="384"/>
      <c r="H174" s="385"/>
      <c r="I174" s="254"/>
      <c r="J174" s="15"/>
      <c r="K174" s="317"/>
      <c r="L174" s="63"/>
    </row>
    <row r="175" spans="1:12" ht="30" customHeight="1">
      <c r="A175" s="426" t="s">
        <v>23</v>
      </c>
      <c r="B175" s="87">
        <v>14</v>
      </c>
      <c r="C175" s="87">
        <v>14</v>
      </c>
      <c r="D175" s="35"/>
      <c r="E175" s="384"/>
      <c r="F175" s="384"/>
      <c r="G175" s="384"/>
      <c r="H175" s="238"/>
      <c r="I175" s="254"/>
      <c r="J175" s="15"/>
      <c r="K175" s="317"/>
      <c r="L175" s="63"/>
    </row>
    <row r="176" spans="1:12" ht="30" customHeight="1">
      <c r="A176" s="426" t="s">
        <v>383</v>
      </c>
      <c r="B176" s="87"/>
      <c r="C176" s="87">
        <v>39</v>
      </c>
      <c r="D176" s="35"/>
      <c r="E176" s="85"/>
      <c r="F176" s="85"/>
      <c r="G176" s="85"/>
      <c r="H176" s="85"/>
      <c r="I176" s="254"/>
      <c r="J176" s="15"/>
      <c r="K176" s="317"/>
      <c r="L176" s="63"/>
    </row>
    <row r="177" spans="1:12" s="9" customFormat="1" ht="30" customHeight="1">
      <c r="A177" s="51" t="s">
        <v>18</v>
      </c>
      <c r="B177" s="37">
        <f>C177*1.19</f>
        <v>30.939999999999998</v>
      </c>
      <c r="C177" s="5">
        <v>26</v>
      </c>
      <c r="D177" s="35"/>
      <c r="E177" s="95"/>
      <c r="F177" s="95"/>
      <c r="G177" s="95"/>
      <c r="H177" s="276"/>
      <c r="I177" s="254"/>
      <c r="J177" s="15"/>
      <c r="K177" s="317"/>
      <c r="L177" s="63"/>
    </row>
    <row r="178" spans="1:12" s="9" customFormat="1" ht="30" customHeight="1">
      <c r="A178" s="53" t="s">
        <v>480</v>
      </c>
      <c r="B178" s="5">
        <v>5</v>
      </c>
      <c r="C178" s="5">
        <v>5</v>
      </c>
      <c r="D178" s="35"/>
      <c r="E178" s="95"/>
      <c r="F178" s="95"/>
      <c r="G178" s="95"/>
      <c r="H178" s="276"/>
      <c r="I178" s="254"/>
      <c r="J178" s="15"/>
      <c r="K178" s="317"/>
      <c r="L178" s="63"/>
    </row>
    <row r="179" spans="1:12" ht="30" customHeight="1">
      <c r="A179" s="426" t="s">
        <v>147</v>
      </c>
      <c r="B179" s="87"/>
      <c r="C179" s="87">
        <v>13</v>
      </c>
      <c r="D179" s="35"/>
      <c r="E179" s="384"/>
      <c r="F179" s="384"/>
      <c r="G179" s="384"/>
      <c r="H179" s="385"/>
      <c r="J179" s="70"/>
      <c r="K179" s="339"/>
      <c r="L179" s="63"/>
    </row>
    <row r="180" spans="1:12" s="111" customFormat="1" ht="30" customHeight="1">
      <c r="A180" s="426" t="s">
        <v>84</v>
      </c>
      <c r="B180" s="87">
        <v>17</v>
      </c>
      <c r="C180" s="87">
        <v>17</v>
      </c>
      <c r="D180" s="35"/>
      <c r="E180" s="41"/>
      <c r="F180" s="41"/>
      <c r="G180" s="41"/>
      <c r="H180" s="37"/>
      <c r="I180" s="386"/>
      <c r="J180" s="9"/>
      <c r="K180" s="313"/>
      <c r="L180" s="1"/>
    </row>
    <row r="181" spans="1:12" s="111" customFormat="1" ht="30" customHeight="1">
      <c r="A181" s="56" t="s">
        <v>21</v>
      </c>
      <c r="B181" s="90">
        <v>6.5</v>
      </c>
      <c r="C181" s="90">
        <v>6.5</v>
      </c>
      <c r="D181" s="35"/>
      <c r="E181" s="41"/>
      <c r="F181" s="41"/>
      <c r="G181" s="41"/>
      <c r="H181" s="37"/>
      <c r="I181" s="386"/>
      <c r="J181" s="9"/>
      <c r="K181" s="313"/>
      <c r="L181" s="1"/>
    </row>
    <row r="182" spans="1:8" ht="30" customHeight="1">
      <c r="A182" s="53" t="s">
        <v>397</v>
      </c>
      <c r="B182" s="5">
        <v>2</v>
      </c>
      <c r="C182" s="5">
        <v>2</v>
      </c>
      <c r="D182" s="35"/>
      <c r="E182" s="384"/>
      <c r="F182" s="384"/>
      <c r="G182" s="384"/>
      <c r="H182" s="385"/>
    </row>
    <row r="183" spans="1:12" ht="30" customHeight="1">
      <c r="A183" s="373" t="s">
        <v>381</v>
      </c>
      <c r="B183" s="332"/>
      <c r="C183" s="224">
        <v>50</v>
      </c>
      <c r="D183" s="23"/>
      <c r="E183" s="109"/>
      <c r="F183" s="109"/>
      <c r="G183" s="109"/>
      <c r="H183" s="238"/>
      <c r="I183" s="243" t="s">
        <v>348</v>
      </c>
      <c r="J183" s="9"/>
      <c r="K183" s="313"/>
      <c r="L183" s="9"/>
    </row>
    <row r="184" spans="1:12" ht="30" customHeight="1">
      <c r="A184" s="56" t="s">
        <v>349</v>
      </c>
      <c r="B184" s="234">
        <v>12.5</v>
      </c>
      <c r="C184" s="234">
        <v>12.5</v>
      </c>
      <c r="D184" s="36"/>
      <c r="E184" s="41"/>
      <c r="F184" s="41"/>
      <c r="G184" s="41"/>
      <c r="H184" s="37"/>
      <c r="I184" s="387"/>
      <c r="J184" s="9"/>
      <c r="K184" s="313"/>
      <c r="L184" s="9"/>
    </row>
    <row r="185" spans="1:12" ht="30" customHeight="1">
      <c r="A185" s="56" t="s">
        <v>21</v>
      </c>
      <c r="B185" s="90">
        <v>3</v>
      </c>
      <c r="C185" s="90">
        <v>3</v>
      </c>
      <c r="D185" s="36"/>
      <c r="E185" s="41"/>
      <c r="F185" s="41"/>
      <c r="G185" s="41"/>
      <c r="H185" s="37"/>
      <c r="I185" s="386"/>
      <c r="J185" s="9"/>
      <c r="K185" s="313"/>
      <c r="L185" s="9"/>
    </row>
    <row r="186" spans="1:12" ht="30" customHeight="1">
      <c r="A186" s="56" t="s">
        <v>62</v>
      </c>
      <c r="B186" s="234">
        <v>37.5</v>
      </c>
      <c r="C186" s="234">
        <v>37.5</v>
      </c>
      <c r="D186" s="36"/>
      <c r="E186" s="41"/>
      <c r="F186" s="41"/>
      <c r="G186" s="41"/>
      <c r="H186" s="37"/>
      <c r="I186" s="386"/>
      <c r="J186" s="9"/>
      <c r="K186" s="313"/>
      <c r="L186" s="9"/>
    </row>
    <row r="187" spans="1:12" ht="30" customHeight="1">
      <c r="A187" s="56" t="s">
        <v>54</v>
      </c>
      <c r="B187" s="90">
        <v>5</v>
      </c>
      <c r="C187" s="90">
        <v>5</v>
      </c>
      <c r="D187" s="36"/>
      <c r="E187" s="41"/>
      <c r="F187" s="41"/>
      <c r="G187" s="41"/>
      <c r="H187" s="37"/>
      <c r="I187" s="386"/>
      <c r="J187" s="9"/>
      <c r="K187" s="313"/>
      <c r="L187" s="9"/>
    </row>
    <row r="188" spans="1:11" s="9" customFormat="1" ht="30" customHeight="1">
      <c r="A188" s="483" t="s">
        <v>292</v>
      </c>
      <c r="B188" s="482"/>
      <c r="C188" s="482"/>
      <c r="D188" s="21">
        <v>150</v>
      </c>
      <c r="E188" s="44">
        <v>3.7</v>
      </c>
      <c r="F188" s="44">
        <v>3.6</v>
      </c>
      <c r="G188" s="44">
        <v>34.1</v>
      </c>
      <c r="H188" s="43">
        <f>G188*4+F188*9+E188*4</f>
        <v>183.60000000000002</v>
      </c>
      <c r="I188" s="256" t="s">
        <v>293</v>
      </c>
      <c r="K188" s="313"/>
    </row>
    <row r="189" spans="1:11" ht="30" customHeight="1">
      <c r="A189" s="53" t="s">
        <v>23</v>
      </c>
      <c r="B189" s="5">
        <v>54</v>
      </c>
      <c r="C189" s="5">
        <v>54</v>
      </c>
      <c r="D189" s="36"/>
      <c r="E189" s="95"/>
      <c r="F189" s="95"/>
      <c r="G189" s="95"/>
      <c r="H189" s="276"/>
      <c r="I189" s="254"/>
      <c r="J189" s="9"/>
      <c r="K189" s="313"/>
    </row>
    <row r="190" spans="1:11" s="9" customFormat="1" ht="30" customHeight="1">
      <c r="A190" s="53" t="s">
        <v>62</v>
      </c>
      <c r="B190" s="5">
        <f>B189*6</f>
        <v>324</v>
      </c>
      <c r="C190" s="5">
        <f>C189*6</f>
        <v>324</v>
      </c>
      <c r="D190" s="36"/>
      <c r="E190" s="95"/>
      <c r="F190" s="95"/>
      <c r="G190" s="95"/>
      <c r="H190" s="276"/>
      <c r="I190" s="254"/>
      <c r="K190" s="313"/>
    </row>
    <row r="191" spans="1:12" s="9" customFormat="1" ht="30" customHeight="1">
      <c r="A191" s="53" t="s">
        <v>19</v>
      </c>
      <c r="B191" s="5">
        <v>4</v>
      </c>
      <c r="C191" s="5">
        <v>4</v>
      </c>
      <c r="D191" s="36"/>
      <c r="E191" s="95"/>
      <c r="F191" s="95"/>
      <c r="G191" s="95"/>
      <c r="H191" s="276"/>
      <c r="I191" s="254"/>
      <c r="K191" s="313"/>
      <c r="L191" s="15"/>
    </row>
    <row r="192" spans="1:12" ht="30" customHeight="1">
      <c r="A192" s="332" t="s">
        <v>218</v>
      </c>
      <c r="B192" s="23">
        <v>200</v>
      </c>
      <c r="C192" s="23">
        <v>200</v>
      </c>
      <c r="D192" s="23">
        <v>200</v>
      </c>
      <c r="E192" s="109">
        <v>0.5</v>
      </c>
      <c r="F192" s="109">
        <v>0.1</v>
      </c>
      <c r="G192" s="109">
        <v>28</v>
      </c>
      <c r="H192" s="238">
        <f>G192*4+F192*9+E192*4</f>
        <v>114.9</v>
      </c>
      <c r="I192" s="243" t="s">
        <v>219</v>
      </c>
      <c r="L192" s="273"/>
    </row>
    <row r="193" spans="1:12" ht="30" customHeight="1">
      <c r="A193" s="473" t="s">
        <v>69</v>
      </c>
      <c r="B193" s="473"/>
      <c r="C193" s="473"/>
      <c r="D193" s="473"/>
      <c r="E193" s="473"/>
      <c r="F193" s="473"/>
      <c r="G193" s="473"/>
      <c r="H193" s="473"/>
      <c r="L193" s="69"/>
    </row>
    <row r="194" spans="1:12" s="9" customFormat="1" ht="30" customHeight="1">
      <c r="A194" s="494" t="s">
        <v>251</v>
      </c>
      <c r="B194" s="482"/>
      <c r="C194" s="482"/>
      <c r="D194" s="145">
        <v>200</v>
      </c>
      <c r="E194" s="104">
        <v>0.3</v>
      </c>
      <c r="F194" s="104">
        <v>0.3</v>
      </c>
      <c r="G194" s="104">
        <v>20.4</v>
      </c>
      <c r="H194" s="43">
        <f>G194*4+F194*9+E194*4</f>
        <v>85.5</v>
      </c>
      <c r="I194" s="256" t="s">
        <v>252</v>
      </c>
      <c r="K194" s="313"/>
      <c r="L194" s="69"/>
    </row>
    <row r="195" spans="1:12" ht="30" customHeight="1">
      <c r="A195" s="56" t="s">
        <v>159</v>
      </c>
      <c r="B195" s="50">
        <f>C195*1.14</f>
        <v>56.99999999999999</v>
      </c>
      <c r="C195" s="50">
        <v>50</v>
      </c>
      <c r="D195" s="230"/>
      <c r="E195" s="144"/>
      <c r="F195" s="144"/>
      <c r="G195" s="144"/>
      <c r="H195" s="247"/>
      <c r="J195" s="9"/>
      <c r="K195" s="313"/>
      <c r="L195" s="69"/>
    </row>
    <row r="196" spans="1:12" ht="30" customHeight="1">
      <c r="A196" s="76" t="s">
        <v>139</v>
      </c>
      <c r="B196" s="50">
        <f>C196*1.5</f>
        <v>10.5</v>
      </c>
      <c r="C196" s="50">
        <v>7</v>
      </c>
      <c r="D196" s="230"/>
      <c r="E196" s="144"/>
      <c r="F196" s="144"/>
      <c r="G196" s="144"/>
      <c r="H196" s="247"/>
      <c r="J196" s="9"/>
      <c r="K196" s="313"/>
      <c r="L196" s="3"/>
    </row>
    <row r="197" spans="1:12" ht="30" customHeight="1">
      <c r="A197" s="53" t="s">
        <v>4</v>
      </c>
      <c r="B197" s="50">
        <v>15</v>
      </c>
      <c r="C197" s="50">
        <v>15</v>
      </c>
      <c r="D197" s="230"/>
      <c r="E197" s="144"/>
      <c r="F197" s="144"/>
      <c r="G197" s="144"/>
      <c r="H197" s="247"/>
      <c r="J197" s="9"/>
      <c r="K197" s="313"/>
      <c r="L197" s="3"/>
    </row>
    <row r="198" spans="1:12" ht="30" customHeight="1">
      <c r="A198" s="330" t="s">
        <v>20</v>
      </c>
      <c r="B198" s="25">
        <v>30</v>
      </c>
      <c r="C198" s="25">
        <v>30</v>
      </c>
      <c r="D198" s="39">
        <v>30</v>
      </c>
      <c r="E198" s="342">
        <v>1.4</v>
      </c>
      <c r="F198" s="342">
        <v>0.3</v>
      </c>
      <c r="G198" s="342">
        <v>13.1</v>
      </c>
      <c r="H198" s="343">
        <v>60.8</v>
      </c>
      <c r="I198" s="344"/>
      <c r="L198" s="69"/>
    </row>
    <row r="199" spans="1:12" ht="30" customHeight="1">
      <c r="A199" s="483" t="s">
        <v>74</v>
      </c>
      <c r="B199" s="483"/>
      <c r="C199" s="483"/>
      <c r="D199" s="39">
        <v>30</v>
      </c>
      <c r="E199" s="41"/>
      <c r="F199" s="41"/>
      <c r="G199" s="41"/>
      <c r="H199" s="41"/>
      <c r="L199" s="69"/>
    </row>
    <row r="200" spans="1:12" ht="30" customHeight="1">
      <c r="A200" s="203" t="s">
        <v>26</v>
      </c>
      <c r="B200" s="36">
        <v>30</v>
      </c>
      <c r="C200" s="36">
        <v>30</v>
      </c>
      <c r="D200" s="23">
        <v>30</v>
      </c>
      <c r="E200" s="109">
        <v>1.05</v>
      </c>
      <c r="F200" s="109">
        <v>0.3</v>
      </c>
      <c r="G200" s="109">
        <v>14.1</v>
      </c>
      <c r="H200" s="238">
        <v>61.5</v>
      </c>
      <c r="L200" s="69"/>
    </row>
    <row r="201" spans="1:12" ht="30" customHeight="1">
      <c r="A201" s="472" t="s">
        <v>24</v>
      </c>
      <c r="B201" s="472"/>
      <c r="C201" s="472"/>
      <c r="D201" s="472"/>
      <c r="E201" s="99">
        <f>E138+E105</f>
        <v>46.349999999999994</v>
      </c>
      <c r="F201" s="99">
        <f>F138+F105</f>
        <v>45.7</v>
      </c>
      <c r="G201" s="99">
        <f>G138+G105</f>
        <v>189.2</v>
      </c>
      <c r="H201" s="96">
        <f>H138+H105</f>
        <v>1356.3</v>
      </c>
      <c r="I201" s="254"/>
      <c r="J201" s="9"/>
      <c r="K201" s="313"/>
      <c r="L201" s="3"/>
    </row>
    <row r="202" spans="1:12" s="9" customFormat="1" ht="30" customHeight="1">
      <c r="A202" s="478" t="s">
        <v>42</v>
      </c>
      <c r="B202" s="478"/>
      <c r="C202" s="478"/>
      <c r="D202" s="478"/>
      <c r="E202" s="478"/>
      <c r="F202" s="478"/>
      <c r="G202" s="478"/>
      <c r="H202" s="478"/>
      <c r="I202" s="478"/>
      <c r="K202" s="313"/>
      <c r="L202" s="3"/>
    </row>
    <row r="203" spans="1:12" s="9" customFormat="1" ht="30" customHeight="1">
      <c r="A203" s="470" t="s">
        <v>0</v>
      </c>
      <c r="B203" s="471" t="s">
        <v>6</v>
      </c>
      <c r="C203" s="471" t="s">
        <v>7</v>
      </c>
      <c r="D203" s="470" t="s">
        <v>5</v>
      </c>
      <c r="E203" s="470"/>
      <c r="F203" s="470"/>
      <c r="G203" s="470"/>
      <c r="H203" s="470"/>
      <c r="I203" s="470"/>
      <c r="K203" s="313"/>
      <c r="L203" s="3"/>
    </row>
    <row r="204" spans="1:12" s="9" customFormat="1" ht="30" customHeight="1">
      <c r="A204" s="470"/>
      <c r="B204" s="471"/>
      <c r="C204" s="471"/>
      <c r="D204" s="135" t="s">
        <v>8</v>
      </c>
      <c r="E204" s="281" t="s">
        <v>1</v>
      </c>
      <c r="F204" s="281" t="s">
        <v>2</v>
      </c>
      <c r="G204" s="281" t="s">
        <v>9</v>
      </c>
      <c r="H204" s="280" t="s">
        <v>3</v>
      </c>
      <c r="I204" s="282" t="s">
        <v>190</v>
      </c>
      <c r="K204" s="313"/>
      <c r="L204" s="3"/>
    </row>
    <row r="205" spans="1:12" ht="30" customHeight="1">
      <c r="A205" s="485" t="s">
        <v>105</v>
      </c>
      <c r="B205" s="485"/>
      <c r="C205" s="485"/>
      <c r="D205" s="245">
        <f>35+D221+D232+D240</f>
        <v>535</v>
      </c>
      <c r="E205" s="99">
        <f>E206+E221+E232+E240</f>
        <v>24.899999999999995</v>
      </c>
      <c r="F205" s="99">
        <f>F206+F221+F232+F240</f>
        <v>26.124999999999996</v>
      </c>
      <c r="G205" s="99">
        <f>G206+G221+G232+G240</f>
        <v>58</v>
      </c>
      <c r="H205" s="99">
        <f>H206+H221+H232+H240</f>
        <v>566.725</v>
      </c>
      <c r="I205" s="254"/>
      <c r="K205" s="314" t="s">
        <v>42</v>
      </c>
      <c r="L205" s="9"/>
    </row>
    <row r="206" spans="1:12" ht="30" customHeight="1">
      <c r="A206" s="481" t="s">
        <v>279</v>
      </c>
      <c r="B206" s="482"/>
      <c r="C206" s="482"/>
      <c r="D206" s="33" t="s">
        <v>464</v>
      </c>
      <c r="E206" s="45">
        <v>2.4</v>
      </c>
      <c r="F206" s="45">
        <v>5.6</v>
      </c>
      <c r="G206" s="45">
        <v>10.8</v>
      </c>
      <c r="H206" s="43">
        <f>G206*4+F206*9+E206*4</f>
        <v>103.19999999999999</v>
      </c>
      <c r="I206" s="231" t="s">
        <v>280</v>
      </c>
      <c r="K206" s="301" t="s">
        <v>26</v>
      </c>
      <c r="L206" s="9">
        <f>+D297</f>
        <v>40</v>
      </c>
    </row>
    <row r="207" spans="1:12" s="9" customFormat="1" ht="30" customHeight="1">
      <c r="A207" s="53" t="s">
        <v>128</v>
      </c>
      <c r="B207" s="36">
        <v>20</v>
      </c>
      <c r="C207" s="36">
        <v>20</v>
      </c>
      <c r="D207" s="36"/>
      <c r="E207" s="95"/>
      <c r="F207" s="95"/>
      <c r="G207" s="95"/>
      <c r="H207" s="95"/>
      <c r="I207" s="95"/>
      <c r="K207" s="301" t="s">
        <v>126</v>
      </c>
      <c r="L207" s="17">
        <f>D295+C207+C227</f>
        <v>75</v>
      </c>
    </row>
    <row r="208" spans="1:12" s="9" customFormat="1" ht="30" customHeight="1">
      <c r="A208" s="53" t="s">
        <v>118</v>
      </c>
      <c r="B208" s="36">
        <v>16</v>
      </c>
      <c r="C208" s="36">
        <v>15</v>
      </c>
      <c r="D208" s="36"/>
      <c r="E208" s="95"/>
      <c r="F208" s="44"/>
      <c r="G208" s="44"/>
      <c r="H208" s="43"/>
      <c r="I208" s="254"/>
      <c r="K208" s="301" t="s">
        <v>155</v>
      </c>
      <c r="L208" s="17"/>
    </row>
    <row r="209" spans="1:12" s="9" customFormat="1" ht="30" customHeight="1">
      <c r="A209" s="476" t="s">
        <v>389</v>
      </c>
      <c r="B209" s="476"/>
      <c r="C209" s="476"/>
      <c r="D209" s="23">
        <v>150</v>
      </c>
      <c r="E209" s="109">
        <v>18.7</v>
      </c>
      <c r="F209" s="109">
        <v>17.4</v>
      </c>
      <c r="G209" s="109">
        <v>18.7</v>
      </c>
      <c r="H209" s="238">
        <f>E209*4+F209*9+G209*4</f>
        <v>306.2</v>
      </c>
      <c r="I209" s="243" t="s">
        <v>384</v>
      </c>
      <c r="K209" s="301" t="s">
        <v>66</v>
      </c>
      <c r="L209" s="17">
        <f>C223</f>
        <v>8.5</v>
      </c>
    </row>
    <row r="210" spans="1:12" s="9" customFormat="1" ht="30" customHeight="1">
      <c r="A210" s="56" t="s">
        <v>25</v>
      </c>
      <c r="B210" s="37">
        <v>121</v>
      </c>
      <c r="C210" s="37">
        <v>120</v>
      </c>
      <c r="D210" s="36"/>
      <c r="E210" s="41"/>
      <c r="F210" s="41"/>
      <c r="G210" s="41"/>
      <c r="H210" s="41"/>
      <c r="I210" s="388"/>
      <c r="K210" s="301" t="s">
        <v>65</v>
      </c>
      <c r="L210" s="170"/>
    </row>
    <row r="211" spans="1:12" s="9" customFormat="1" ht="30" customHeight="1">
      <c r="A211" s="56" t="s">
        <v>385</v>
      </c>
      <c r="B211" s="37">
        <v>16</v>
      </c>
      <c r="C211" s="37">
        <v>16</v>
      </c>
      <c r="D211" s="36"/>
      <c r="E211" s="109"/>
      <c r="F211" s="109"/>
      <c r="G211" s="109"/>
      <c r="H211" s="238"/>
      <c r="I211" s="243"/>
      <c r="K211" s="301" t="s">
        <v>27</v>
      </c>
      <c r="L211" s="17">
        <f>C266+C252</f>
        <v>180</v>
      </c>
    </row>
    <row r="212" spans="1:12" s="9" customFormat="1" ht="30" customHeight="1">
      <c r="A212" s="56" t="s">
        <v>386</v>
      </c>
      <c r="B212" s="37">
        <v>6</v>
      </c>
      <c r="C212" s="37">
        <v>6</v>
      </c>
      <c r="D212" s="36"/>
      <c r="E212" s="41"/>
      <c r="F212" s="41"/>
      <c r="G212" s="41"/>
      <c r="H212" s="41"/>
      <c r="I212" s="389"/>
      <c r="K212" s="301" t="s">
        <v>201</v>
      </c>
      <c r="L212" s="17">
        <f>C270+C272+C273+C256+C246</f>
        <v>178</v>
      </c>
    </row>
    <row r="213" spans="1:12" s="9" customFormat="1" ht="30" customHeight="1">
      <c r="A213" s="56" t="s">
        <v>4</v>
      </c>
      <c r="B213" s="37">
        <v>6</v>
      </c>
      <c r="C213" s="37">
        <v>6</v>
      </c>
      <c r="D213" s="36"/>
      <c r="E213" s="41"/>
      <c r="F213" s="41"/>
      <c r="G213" s="41"/>
      <c r="H213" s="37"/>
      <c r="I213" s="389"/>
      <c r="K213" s="301" t="s">
        <v>28</v>
      </c>
      <c r="L213" s="9">
        <f>+D240+C291</f>
        <v>174</v>
      </c>
    </row>
    <row r="214" spans="1:11" s="9" customFormat="1" ht="30" customHeight="1">
      <c r="A214" s="56" t="s">
        <v>138</v>
      </c>
      <c r="B214" s="271">
        <v>0.01</v>
      </c>
      <c r="C214" s="271">
        <v>0.01</v>
      </c>
      <c r="D214" s="36"/>
      <c r="E214" s="41"/>
      <c r="F214" s="41"/>
      <c r="G214" s="41"/>
      <c r="H214" s="37"/>
      <c r="I214" s="389"/>
      <c r="K214" s="301" t="s">
        <v>170</v>
      </c>
    </row>
    <row r="215" spans="1:12" s="9" customFormat="1" ht="30" customHeight="1">
      <c r="A215" s="56" t="s">
        <v>387</v>
      </c>
      <c r="B215" s="37">
        <v>9</v>
      </c>
      <c r="C215" s="37">
        <v>9</v>
      </c>
      <c r="D215" s="36"/>
      <c r="E215" s="41"/>
      <c r="F215" s="41"/>
      <c r="G215" s="41"/>
      <c r="H215" s="37"/>
      <c r="I215" s="389"/>
      <c r="K215" s="301" t="s">
        <v>202</v>
      </c>
      <c r="L215" s="17">
        <f>C225+C239+C293</f>
        <v>37</v>
      </c>
    </row>
    <row r="216" spans="1:11" s="9" customFormat="1" ht="30" customHeight="1">
      <c r="A216" s="56" t="s">
        <v>56</v>
      </c>
      <c r="B216" s="37">
        <v>6</v>
      </c>
      <c r="C216" s="37">
        <v>6</v>
      </c>
      <c r="D216" s="36"/>
      <c r="E216" s="41"/>
      <c r="F216" s="41"/>
      <c r="G216" s="41"/>
      <c r="H216" s="37"/>
      <c r="I216" s="389"/>
      <c r="K216" s="301" t="s">
        <v>357</v>
      </c>
    </row>
    <row r="217" spans="1:11" s="9" customFormat="1" ht="30" customHeight="1">
      <c r="A217" s="56" t="s">
        <v>100</v>
      </c>
      <c r="B217" s="37">
        <v>4</v>
      </c>
      <c r="C217" s="37">
        <v>4</v>
      </c>
      <c r="D217" s="36"/>
      <c r="E217" s="41"/>
      <c r="F217" s="41"/>
      <c r="G217" s="41"/>
      <c r="H217" s="36"/>
      <c r="I217" s="387"/>
      <c r="K217" s="315" t="s">
        <v>29</v>
      </c>
    </row>
    <row r="218" spans="1:12" s="9" customFormat="1" ht="30" customHeight="1">
      <c r="A218" s="56" t="s">
        <v>388</v>
      </c>
      <c r="B218" s="41"/>
      <c r="C218" s="37">
        <v>130</v>
      </c>
      <c r="D218" s="36"/>
      <c r="E218" s="41"/>
      <c r="F218" s="41"/>
      <c r="G218" s="41"/>
      <c r="H218" s="41"/>
      <c r="I218" s="389"/>
      <c r="K218" s="301" t="s">
        <v>70</v>
      </c>
      <c r="L218" s="61"/>
    </row>
    <row r="219" spans="1:12" s="9" customFormat="1" ht="30" customHeight="1">
      <c r="A219" s="56" t="s">
        <v>81</v>
      </c>
      <c r="B219" s="36">
        <v>20.2</v>
      </c>
      <c r="C219" s="36">
        <v>20</v>
      </c>
      <c r="D219" s="36"/>
      <c r="E219" s="41"/>
      <c r="F219" s="41"/>
      <c r="G219" s="41"/>
      <c r="H219" s="41"/>
      <c r="I219" s="388"/>
      <c r="K219" s="301" t="s">
        <v>182</v>
      </c>
      <c r="L219" s="17">
        <f>C233</f>
        <v>5</v>
      </c>
    </row>
    <row r="220" spans="1:11" s="9" customFormat="1" ht="30" customHeight="1">
      <c r="A220" s="473" t="s">
        <v>69</v>
      </c>
      <c r="B220" s="473"/>
      <c r="C220" s="473"/>
      <c r="D220" s="473"/>
      <c r="E220" s="473"/>
      <c r="F220" s="473"/>
      <c r="G220" s="473"/>
      <c r="H220" s="473"/>
      <c r="I220" s="473"/>
      <c r="K220" s="301" t="s">
        <v>183</v>
      </c>
    </row>
    <row r="221" spans="1:11" ht="30" customHeight="1">
      <c r="A221" s="501" t="s">
        <v>304</v>
      </c>
      <c r="B221" s="501"/>
      <c r="C221" s="501"/>
      <c r="D221" s="145">
        <v>150</v>
      </c>
      <c r="E221" s="350">
        <v>18.9</v>
      </c>
      <c r="F221" s="350">
        <v>17.325</v>
      </c>
      <c r="G221" s="350">
        <v>17.4</v>
      </c>
      <c r="H221" s="238">
        <f>G221*4+F221*9+E221*4</f>
        <v>301.125</v>
      </c>
      <c r="I221" s="231" t="s">
        <v>305</v>
      </c>
      <c r="K221" s="316" t="s">
        <v>30</v>
      </c>
    </row>
    <row r="222" spans="1:12" ht="30" customHeight="1">
      <c r="A222" s="53" t="s">
        <v>25</v>
      </c>
      <c r="B222" s="47">
        <v>114</v>
      </c>
      <c r="C222" s="47">
        <v>113</v>
      </c>
      <c r="D222" s="50"/>
      <c r="E222" s="50"/>
      <c r="F222" s="50"/>
      <c r="G222" s="50"/>
      <c r="H222" s="50"/>
      <c r="K222" s="301" t="s">
        <v>172</v>
      </c>
      <c r="L222" s="62"/>
    </row>
    <row r="223" spans="1:12" s="9" customFormat="1" ht="30" customHeight="1">
      <c r="A223" s="75" t="s">
        <v>58</v>
      </c>
      <c r="B223" s="176">
        <v>8.5</v>
      </c>
      <c r="C223" s="176">
        <v>8.5</v>
      </c>
      <c r="D223" s="88"/>
      <c r="E223" s="104"/>
      <c r="F223" s="104"/>
      <c r="G223" s="104"/>
      <c r="H223" s="43"/>
      <c r="I223" s="254"/>
      <c r="K223" s="301" t="s">
        <v>174</v>
      </c>
      <c r="L223" s="62">
        <f>C263</f>
        <v>62</v>
      </c>
    </row>
    <row r="224" spans="1:12" s="9" customFormat="1" ht="30" customHeight="1">
      <c r="A224" s="75" t="s">
        <v>61</v>
      </c>
      <c r="B224" s="49">
        <v>10</v>
      </c>
      <c r="C224" s="49">
        <v>10</v>
      </c>
      <c r="D224" s="88"/>
      <c r="E224" s="88"/>
      <c r="F224" s="88"/>
      <c r="G224" s="88"/>
      <c r="H224" s="88"/>
      <c r="I224" s="254"/>
      <c r="K224" s="301" t="s">
        <v>173</v>
      </c>
      <c r="L224" s="61"/>
    </row>
    <row r="225" spans="1:12" s="9" customFormat="1" ht="30" customHeight="1">
      <c r="A225" s="53" t="s">
        <v>4</v>
      </c>
      <c r="B225" s="49">
        <v>7</v>
      </c>
      <c r="C225" s="49">
        <v>7</v>
      </c>
      <c r="D225" s="88"/>
      <c r="E225" s="88"/>
      <c r="F225" s="176"/>
      <c r="G225" s="176"/>
      <c r="H225" s="49"/>
      <c r="I225" s="254"/>
      <c r="K225" s="301" t="s">
        <v>175</v>
      </c>
      <c r="L225" s="62">
        <f>C248</f>
        <v>58</v>
      </c>
    </row>
    <row r="226" spans="1:12" s="9" customFormat="1" ht="30" customHeight="1">
      <c r="A226" s="57" t="s">
        <v>84</v>
      </c>
      <c r="B226" s="47">
        <v>4</v>
      </c>
      <c r="C226" s="47">
        <v>4</v>
      </c>
      <c r="D226" s="88"/>
      <c r="E226" s="88"/>
      <c r="F226" s="177"/>
      <c r="G226" s="177"/>
      <c r="H226" s="47"/>
      <c r="I226" s="254"/>
      <c r="K226" s="305" t="s">
        <v>80</v>
      </c>
      <c r="L226" s="170">
        <f>C231+C234</f>
        <v>160</v>
      </c>
    </row>
    <row r="227" spans="1:12" s="9" customFormat="1" ht="30" customHeight="1">
      <c r="A227" s="75" t="s">
        <v>22</v>
      </c>
      <c r="B227" s="49">
        <v>5</v>
      </c>
      <c r="C227" s="49">
        <v>5</v>
      </c>
      <c r="D227" s="88"/>
      <c r="E227" s="88"/>
      <c r="F227" s="176"/>
      <c r="G227" s="176"/>
      <c r="H227" s="49"/>
      <c r="I227" s="254"/>
      <c r="K227" s="307" t="s">
        <v>176</v>
      </c>
      <c r="L227" s="170"/>
    </row>
    <row r="228" spans="1:12" ht="30" customHeight="1">
      <c r="A228" s="76" t="s">
        <v>56</v>
      </c>
      <c r="B228" s="49">
        <v>4</v>
      </c>
      <c r="C228" s="49">
        <v>4</v>
      </c>
      <c r="D228" s="88"/>
      <c r="E228" s="88"/>
      <c r="F228" s="176"/>
      <c r="G228" s="176"/>
      <c r="H228" s="49"/>
      <c r="I228" s="254"/>
      <c r="K228" s="301" t="s">
        <v>177</v>
      </c>
      <c r="L228" s="170">
        <f>C222</f>
        <v>113</v>
      </c>
    </row>
    <row r="229" spans="1:12" ht="30" customHeight="1">
      <c r="A229" s="76" t="s">
        <v>100</v>
      </c>
      <c r="B229" s="47">
        <v>3</v>
      </c>
      <c r="C229" s="47">
        <v>3</v>
      </c>
      <c r="D229" s="50"/>
      <c r="E229" s="50"/>
      <c r="F229" s="177"/>
      <c r="G229" s="177"/>
      <c r="H229" s="47"/>
      <c r="K229" s="301" t="s">
        <v>31</v>
      </c>
      <c r="L229" s="62">
        <f>C228</f>
        <v>4</v>
      </c>
    </row>
    <row r="230" spans="1:12" ht="30" customHeight="1">
      <c r="A230" s="76" t="s">
        <v>89</v>
      </c>
      <c r="B230" s="49"/>
      <c r="C230" s="49">
        <v>120</v>
      </c>
      <c r="D230" s="88"/>
      <c r="E230" s="88"/>
      <c r="F230" s="176"/>
      <c r="G230" s="176"/>
      <c r="H230" s="49"/>
      <c r="I230" s="254"/>
      <c r="K230" s="301" t="s">
        <v>178</v>
      </c>
      <c r="L230" s="61">
        <f>C208</f>
        <v>15</v>
      </c>
    </row>
    <row r="231" spans="1:12" s="9" customFormat="1" ht="30" customHeight="1">
      <c r="A231" s="54" t="s">
        <v>81</v>
      </c>
      <c r="B231" s="36">
        <v>30</v>
      </c>
      <c r="C231" s="49">
        <v>30</v>
      </c>
      <c r="D231" s="50"/>
      <c r="E231" s="177"/>
      <c r="F231" s="176"/>
      <c r="G231" s="176"/>
      <c r="H231" s="49"/>
      <c r="I231" s="254"/>
      <c r="K231" s="301" t="s">
        <v>32</v>
      </c>
      <c r="L231" s="62">
        <f>C257+C229</f>
        <v>8</v>
      </c>
    </row>
    <row r="232" spans="1:12" s="9" customFormat="1" ht="30" customHeight="1">
      <c r="A232" s="496" t="s">
        <v>461</v>
      </c>
      <c r="B232" s="496"/>
      <c r="C232" s="496"/>
      <c r="D232" s="23">
        <v>200</v>
      </c>
      <c r="E232" s="109">
        <v>3.4</v>
      </c>
      <c r="F232" s="23">
        <v>3.2</v>
      </c>
      <c r="G232" s="23">
        <v>21.2</v>
      </c>
      <c r="H232" s="375">
        <f>E232*4+F232*9+G232*4</f>
        <v>127.19999999999999</v>
      </c>
      <c r="I232" s="232" t="s">
        <v>462</v>
      </c>
      <c r="K232" s="301" t="s">
        <v>33</v>
      </c>
      <c r="L232" s="17">
        <f>C276+C264</f>
        <v>13</v>
      </c>
    </row>
    <row r="233" spans="1:12" s="9" customFormat="1" ht="30" customHeight="1">
      <c r="A233" s="56" t="s">
        <v>463</v>
      </c>
      <c r="B233" s="37">
        <v>5</v>
      </c>
      <c r="C233" s="37">
        <v>5</v>
      </c>
      <c r="D233" s="36"/>
      <c r="E233" s="41"/>
      <c r="F233" s="41"/>
      <c r="G233" s="41"/>
      <c r="H233" s="37"/>
      <c r="I233" s="357"/>
      <c r="K233" s="301" t="s">
        <v>179</v>
      </c>
      <c r="L233" s="62">
        <f>C226</f>
        <v>4</v>
      </c>
    </row>
    <row r="234" spans="1:12" s="9" customFormat="1" ht="30" customHeight="1">
      <c r="A234" s="377" t="s">
        <v>52</v>
      </c>
      <c r="B234" s="276">
        <v>130</v>
      </c>
      <c r="C234" s="276">
        <v>130</v>
      </c>
      <c r="D234" s="36"/>
      <c r="E234" s="36"/>
      <c r="F234" s="36"/>
      <c r="G234" s="36"/>
      <c r="H234" s="37"/>
      <c r="I234" s="270"/>
      <c r="K234" s="301" t="s">
        <v>334</v>
      </c>
      <c r="L234" s="9">
        <f>C294</f>
        <v>6</v>
      </c>
    </row>
    <row r="235" spans="1:12" s="9" customFormat="1" ht="30" customHeight="1">
      <c r="A235" s="58" t="s">
        <v>38</v>
      </c>
      <c r="B235" s="89">
        <f>B234*460/1000</f>
        <v>59.8</v>
      </c>
      <c r="C235" s="89">
        <f>C234*460/1000</f>
        <v>59.8</v>
      </c>
      <c r="D235" s="36"/>
      <c r="E235" s="36"/>
      <c r="F235" s="36"/>
      <c r="G235" s="36"/>
      <c r="H235" s="37"/>
      <c r="I235" s="270"/>
      <c r="K235" s="301" t="s">
        <v>181</v>
      </c>
      <c r="L235" s="15">
        <v>1.5</v>
      </c>
    </row>
    <row r="236" spans="1:12" s="9" customFormat="1" ht="30" customHeight="1">
      <c r="A236" s="58" t="s">
        <v>39</v>
      </c>
      <c r="B236" s="89">
        <f>B234*120/1000</f>
        <v>15.6</v>
      </c>
      <c r="C236" s="89">
        <f>C234*120/1000</f>
        <v>15.6</v>
      </c>
      <c r="D236" s="36"/>
      <c r="E236" s="36"/>
      <c r="F236" s="36"/>
      <c r="G236" s="36"/>
      <c r="H236" s="37"/>
      <c r="I236" s="270"/>
      <c r="K236" s="301" t="s">
        <v>180</v>
      </c>
      <c r="L236" s="15">
        <v>1</v>
      </c>
    </row>
    <row r="237" spans="1:9" ht="30" customHeight="1">
      <c r="A237" s="181" t="s">
        <v>149</v>
      </c>
      <c r="B237" s="182">
        <f>B234-B235</f>
        <v>70.2</v>
      </c>
      <c r="C237" s="182">
        <f>C234-C235</f>
        <v>70.2</v>
      </c>
      <c r="D237" s="36"/>
      <c r="E237" s="36"/>
      <c r="F237" s="36"/>
      <c r="G237" s="36"/>
      <c r="H237" s="37"/>
      <c r="I237" s="270"/>
    </row>
    <row r="238" spans="1:9" ht="30" customHeight="1">
      <c r="A238" s="181" t="s">
        <v>150</v>
      </c>
      <c r="B238" s="182">
        <f>B234-B236</f>
        <v>114.4</v>
      </c>
      <c r="C238" s="182">
        <f>C234-C236</f>
        <v>114.4</v>
      </c>
      <c r="D238" s="36"/>
      <c r="E238" s="36"/>
      <c r="F238" s="36"/>
      <c r="G238" s="36"/>
      <c r="H238" s="37"/>
      <c r="I238" s="270"/>
    </row>
    <row r="239" spans="1:9" ht="30" customHeight="1">
      <c r="A239" s="377" t="s">
        <v>4</v>
      </c>
      <c r="B239" s="276">
        <v>15</v>
      </c>
      <c r="C239" s="276">
        <v>15</v>
      </c>
      <c r="D239" s="23"/>
      <c r="E239" s="23"/>
      <c r="F239" s="23"/>
      <c r="G239" s="23"/>
      <c r="H239" s="238"/>
      <c r="I239" s="270"/>
    </row>
    <row r="240" spans="1:9" ht="30" customHeight="1">
      <c r="A240" s="476" t="s">
        <v>94</v>
      </c>
      <c r="B240" s="482"/>
      <c r="C240" s="482"/>
      <c r="D240" s="26">
        <v>150</v>
      </c>
      <c r="E240" s="45">
        <v>0.2</v>
      </c>
      <c r="F240" s="45">
        <v>0</v>
      </c>
      <c r="G240" s="45">
        <v>8.6</v>
      </c>
      <c r="H240" s="43">
        <f>E240*4+F240*9+G240*4</f>
        <v>35.199999999999996</v>
      </c>
      <c r="I240" s="256" t="s">
        <v>205</v>
      </c>
    </row>
    <row r="241" spans="1:9" ht="30" customHeight="1">
      <c r="A241" s="485" t="s">
        <v>57</v>
      </c>
      <c r="B241" s="485"/>
      <c r="C241" s="485"/>
      <c r="D241" s="245">
        <f>D246+300+D259+D290</f>
        <v>800</v>
      </c>
      <c r="E241" s="99">
        <f>E246+E247+E259+E290+E295+E297</f>
        <v>29.63333333333333</v>
      </c>
      <c r="F241" s="99">
        <f>F246+F247+F259+F290+F295+F297</f>
        <v>24.799999999999997</v>
      </c>
      <c r="G241" s="99">
        <f>G246+G247+G259+G290+G295+G297</f>
        <v>94.64999999999999</v>
      </c>
      <c r="H241" s="96">
        <f>H246+H247+H259+H290+H295+H297</f>
        <v>717.9333333333333</v>
      </c>
      <c r="I241" s="254"/>
    </row>
    <row r="242" spans="1:9" ht="30" customHeight="1">
      <c r="A242" s="476" t="s">
        <v>253</v>
      </c>
      <c r="B242" s="476"/>
      <c r="C242" s="476"/>
      <c r="D242" s="23">
        <v>100</v>
      </c>
      <c r="E242" s="109">
        <v>0.7000000000000001</v>
      </c>
      <c r="F242" s="109">
        <v>0.1</v>
      </c>
      <c r="G242" s="109">
        <v>1.9</v>
      </c>
      <c r="H242" s="109">
        <v>11.299999999999999</v>
      </c>
      <c r="I242" s="243" t="s">
        <v>212</v>
      </c>
    </row>
    <row r="243" spans="1:9" ht="30" customHeight="1">
      <c r="A243" s="377" t="s">
        <v>166</v>
      </c>
      <c r="B243" s="87">
        <f>C243*1.05</f>
        <v>105</v>
      </c>
      <c r="C243" s="276">
        <v>100</v>
      </c>
      <c r="D243" s="36"/>
      <c r="E243" s="36"/>
      <c r="F243" s="36"/>
      <c r="G243" s="36"/>
      <c r="H243" s="41"/>
      <c r="I243" s="270"/>
    </row>
    <row r="244" spans="1:9" ht="30" customHeight="1">
      <c r="A244" s="377" t="s">
        <v>112</v>
      </c>
      <c r="B244" s="87">
        <f>C244*1.02</f>
        <v>102</v>
      </c>
      <c r="C244" s="276">
        <v>100</v>
      </c>
      <c r="D244" s="351"/>
      <c r="E244" s="351"/>
      <c r="F244" s="351"/>
      <c r="G244" s="351"/>
      <c r="H244" s="327"/>
      <c r="I244" s="270"/>
    </row>
    <row r="245" spans="1:9" ht="30" customHeight="1">
      <c r="A245" s="480" t="s">
        <v>69</v>
      </c>
      <c r="B245" s="480"/>
      <c r="C245" s="480"/>
      <c r="D245" s="480"/>
      <c r="E245" s="480"/>
      <c r="F245" s="480"/>
      <c r="G245" s="480"/>
      <c r="H245" s="480"/>
      <c r="I245" s="480"/>
    </row>
    <row r="246" spans="1:9" ht="30" customHeight="1">
      <c r="A246" s="333" t="s">
        <v>444</v>
      </c>
      <c r="B246" s="87">
        <f>C246*1.82</f>
        <v>182</v>
      </c>
      <c r="C246" s="276">
        <v>100</v>
      </c>
      <c r="D246" s="23">
        <v>100</v>
      </c>
      <c r="E246" s="109">
        <v>0.8333333333333334</v>
      </c>
      <c r="F246" s="109">
        <v>0.1</v>
      </c>
      <c r="G246" s="109">
        <v>1.6</v>
      </c>
      <c r="H246" s="109">
        <v>10.633333333333335</v>
      </c>
      <c r="I246" s="232" t="s">
        <v>445</v>
      </c>
    </row>
    <row r="247" spans="1:11" s="9" customFormat="1" ht="30" customHeight="1">
      <c r="A247" s="476" t="s">
        <v>368</v>
      </c>
      <c r="B247" s="475"/>
      <c r="C247" s="475"/>
      <c r="D247" s="23" t="s">
        <v>437</v>
      </c>
      <c r="E247" s="109">
        <v>6.7</v>
      </c>
      <c r="F247" s="109">
        <v>4.6</v>
      </c>
      <c r="G247" s="109">
        <v>16</v>
      </c>
      <c r="H247" s="238">
        <f>E247*4+F247*9+G247*4</f>
        <v>132.2</v>
      </c>
      <c r="I247" s="232" t="s">
        <v>338</v>
      </c>
      <c r="K247" s="313"/>
    </row>
    <row r="248" spans="1:8" ht="30" customHeight="1">
      <c r="A248" s="55" t="s">
        <v>83</v>
      </c>
      <c r="B248" s="27">
        <f>C248*1.35</f>
        <v>78.30000000000001</v>
      </c>
      <c r="C248" s="37">
        <v>58</v>
      </c>
      <c r="D248" s="20"/>
      <c r="E248" s="44"/>
      <c r="F248" s="44"/>
      <c r="G248" s="44"/>
      <c r="H248" s="274"/>
    </row>
    <row r="249" spans="1:11" s="9" customFormat="1" ht="30" customHeight="1">
      <c r="A249" s="112" t="s">
        <v>339</v>
      </c>
      <c r="B249" s="390">
        <f>C249*1.5</f>
        <v>90</v>
      </c>
      <c r="C249" s="90">
        <v>60</v>
      </c>
      <c r="D249" s="74"/>
      <c r="E249" s="95"/>
      <c r="F249" s="95"/>
      <c r="G249" s="95"/>
      <c r="H249" s="95"/>
      <c r="I249" s="259"/>
      <c r="K249" s="313"/>
    </row>
    <row r="250" spans="1:12" s="9" customFormat="1" ht="30" customHeight="1">
      <c r="A250" s="112" t="s">
        <v>145</v>
      </c>
      <c r="B250" s="390">
        <f>C250*1.82</f>
        <v>109.2</v>
      </c>
      <c r="C250" s="90">
        <v>60</v>
      </c>
      <c r="D250" s="74"/>
      <c r="E250" s="95"/>
      <c r="F250" s="95"/>
      <c r="G250" s="95"/>
      <c r="H250" s="95"/>
      <c r="I250" s="259"/>
      <c r="K250" s="313"/>
      <c r="L250" s="61"/>
    </row>
    <row r="251" spans="1:11" s="9" customFormat="1" ht="30" customHeight="1">
      <c r="A251" s="56" t="s">
        <v>340</v>
      </c>
      <c r="B251" s="90"/>
      <c r="C251" s="90">
        <v>50</v>
      </c>
      <c r="D251" s="38"/>
      <c r="E251" s="41"/>
      <c r="F251" s="41"/>
      <c r="G251" s="41"/>
      <c r="H251" s="36"/>
      <c r="I251" s="391"/>
      <c r="K251" s="313"/>
    </row>
    <row r="252" spans="1:12" s="9" customFormat="1" ht="30" customHeight="1">
      <c r="A252" s="57" t="s">
        <v>12</v>
      </c>
      <c r="B252" s="141">
        <f>C252*1.33</f>
        <v>133</v>
      </c>
      <c r="C252" s="139">
        <v>100</v>
      </c>
      <c r="D252" s="5"/>
      <c r="E252" s="95"/>
      <c r="F252" s="95"/>
      <c r="G252" s="95"/>
      <c r="H252" s="95"/>
      <c r="I252" s="259"/>
      <c r="K252" s="313"/>
      <c r="L252" s="61"/>
    </row>
    <row r="253" spans="1:12" s="9" customFormat="1" ht="30" customHeight="1">
      <c r="A253" s="57" t="s">
        <v>13</v>
      </c>
      <c r="B253" s="141">
        <f>C253*1.43</f>
        <v>143</v>
      </c>
      <c r="C253" s="139">
        <v>100</v>
      </c>
      <c r="D253" s="5"/>
      <c r="E253" s="95"/>
      <c r="F253" s="95"/>
      <c r="G253" s="95"/>
      <c r="H253" s="276"/>
      <c r="I253" s="259"/>
      <c r="K253" s="313"/>
      <c r="L253" s="61"/>
    </row>
    <row r="254" spans="1:11" ht="30" customHeight="1">
      <c r="A254" s="56" t="s">
        <v>14</v>
      </c>
      <c r="B254" s="141">
        <f>C254*1.54</f>
        <v>154</v>
      </c>
      <c r="C254" s="139">
        <v>100</v>
      </c>
      <c r="D254" s="5"/>
      <c r="E254" s="95"/>
      <c r="F254" s="44"/>
      <c r="G254" s="44"/>
      <c r="H254" s="274"/>
      <c r="I254" s="259"/>
      <c r="J254" s="9"/>
      <c r="K254" s="313"/>
    </row>
    <row r="255" spans="1:12" ht="30" customHeight="1">
      <c r="A255" s="56" t="s">
        <v>15</v>
      </c>
      <c r="B255" s="141">
        <f>C255*1.67</f>
        <v>167</v>
      </c>
      <c r="C255" s="139">
        <v>100</v>
      </c>
      <c r="D255" s="5"/>
      <c r="E255" s="95"/>
      <c r="F255" s="95"/>
      <c r="G255" s="95"/>
      <c r="H255" s="276"/>
      <c r="I255" s="259"/>
      <c r="J255" s="9"/>
      <c r="K255" s="313"/>
      <c r="L255" s="9"/>
    </row>
    <row r="256" spans="1:12" ht="30" customHeight="1">
      <c r="A256" s="57" t="s">
        <v>18</v>
      </c>
      <c r="B256" s="90">
        <f>C256*1.19</f>
        <v>17.849999999999998</v>
      </c>
      <c r="C256" s="139">
        <v>15</v>
      </c>
      <c r="D256" s="5"/>
      <c r="E256" s="95"/>
      <c r="F256" s="95"/>
      <c r="G256" s="95"/>
      <c r="H256" s="276"/>
      <c r="I256" s="201"/>
      <c r="J256" s="9"/>
      <c r="K256" s="313"/>
      <c r="L256" s="9"/>
    </row>
    <row r="257" spans="1:12" ht="30" customHeight="1">
      <c r="A257" s="57" t="s">
        <v>19</v>
      </c>
      <c r="B257" s="141">
        <v>5</v>
      </c>
      <c r="C257" s="141">
        <v>5</v>
      </c>
      <c r="D257" s="5"/>
      <c r="E257" s="95"/>
      <c r="F257" s="95"/>
      <c r="G257" s="95"/>
      <c r="H257" s="276"/>
      <c r="I257" s="259"/>
      <c r="J257" s="9"/>
      <c r="K257" s="313"/>
      <c r="L257" s="9"/>
    </row>
    <row r="258" spans="1:11" s="9" customFormat="1" ht="30" customHeight="1">
      <c r="A258" s="56" t="s">
        <v>72</v>
      </c>
      <c r="B258" s="140">
        <v>0.2</v>
      </c>
      <c r="C258" s="140">
        <v>0.2</v>
      </c>
      <c r="D258" s="228"/>
      <c r="E258" s="85"/>
      <c r="F258" s="85"/>
      <c r="G258" s="85"/>
      <c r="H258" s="240"/>
      <c r="I258" s="392"/>
      <c r="K258" s="313"/>
    </row>
    <row r="259" spans="1:11" s="9" customFormat="1" ht="30" customHeight="1">
      <c r="A259" s="483" t="s">
        <v>306</v>
      </c>
      <c r="B259" s="483"/>
      <c r="C259" s="483"/>
      <c r="D259" s="274">
        <v>200</v>
      </c>
      <c r="E259" s="44">
        <v>18</v>
      </c>
      <c r="F259" s="44">
        <v>18.9</v>
      </c>
      <c r="G259" s="44">
        <v>16.5</v>
      </c>
      <c r="H259" s="43">
        <f>E259*4+F259*9+G259*4</f>
        <v>308.1</v>
      </c>
      <c r="I259" s="221" t="s">
        <v>307</v>
      </c>
      <c r="K259" s="313"/>
    </row>
    <row r="260" spans="1:11" s="9" customFormat="1" ht="30" customHeight="1">
      <c r="A260" s="55" t="s">
        <v>122</v>
      </c>
      <c r="B260" s="48">
        <f>C260*1.12</f>
        <v>80.64000000000001</v>
      </c>
      <c r="C260" s="29">
        <v>72</v>
      </c>
      <c r="D260" s="5"/>
      <c r="E260" s="95"/>
      <c r="F260" s="95"/>
      <c r="G260" s="95"/>
      <c r="H260" s="276"/>
      <c r="I260" s="254"/>
      <c r="K260" s="313"/>
    </row>
    <row r="261" spans="1:9" ht="30" customHeight="1">
      <c r="A261" s="112" t="s">
        <v>151</v>
      </c>
      <c r="B261" s="27">
        <f>C261*1.054</f>
        <v>75.888</v>
      </c>
      <c r="C261" s="35">
        <v>72</v>
      </c>
      <c r="D261" s="5"/>
      <c r="E261" s="95"/>
      <c r="F261" s="95"/>
      <c r="G261" s="113"/>
      <c r="H261" s="252"/>
      <c r="I261" s="254"/>
    </row>
    <row r="262" spans="1:9" ht="30" customHeight="1">
      <c r="A262" s="86" t="s">
        <v>487</v>
      </c>
      <c r="B262" s="27"/>
      <c r="C262" s="35">
        <v>50</v>
      </c>
      <c r="D262" s="5"/>
      <c r="E262" s="95"/>
      <c r="F262" s="95"/>
      <c r="G262" s="113"/>
      <c r="H262" s="252"/>
      <c r="I262" s="254"/>
    </row>
    <row r="263" spans="1:12" ht="30" customHeight="1">
      <c r="A263" s="101" t="s">
        <v>124</v>
      </c>
      <c r="B263" s="27">
        <f>C263*1.048</f>
        <v>64.976</v>
      </c>
      <c r="C263" s="37">
        <v>62</v>
      </c>
      <c r="D263" s="5"/>
      <c r="E263" s="95"/>
      <c r="F263" s="95"/>
      <c r="G263" s="168"/>
      <c r="H263" s="169"/>
      <c r="I263" s="254"/>
      <c r="J263" s="9"/>
      <c r="K263" s="313"/>
      <c r="L263" s="9"/>
    </row>
    <row r="264" spans="1:12" ht="30" customHeight="1">
      <c r="A264" s="54" t="s">
        <v>11</v>
      </c>
      <c r="B264" s="37">
        <v>3</v>
      </c>
      <c r="C264" s="37">
        <v>3</v>
      </c>
      <c r="D264" s="36"/>
      <c r="E264" s="41"/>
      <c r="F264" s="41"/>
      <c r="G264" s="352"/>
      <c r="H264" s="266"/>
      <c r="J264" s="9"/>
      <c r="K264" s="313"/>
      <c r="L264" s="9"/>
    </row>
    <row r="265" spans="1:12" ht="30" customHeight="1">
      <c r="A265" s="54" t="s">
        <v>90</v>
      </c>
      <c r="B265" s="37"/>
      <c r="C265" s="37">
        <v>50</v>
      </c>
      <c r="D265" s="36"/>
      <c r="E265" s="41"/>
      <c r="F265" s="41"/>
      <c r="G265" s="352"/>
      <c r="H265" s="266"/>
      <c r="J265" s="15"/>
      <c r="K265" s="317"/>
      <c r="L265" s="9"/>
    </row>
    <row r="266" spans="1:11" s="9" customFormat="1" ht="30" customHeight="1">
      <c r="A266" s="51" t="s">
        <v>12</v>
      </c>
      <c r="B266" s="35">
        <f>C266*1.33</f>
        <v>106.4</v>
      </c>
      <c r="C266" s="35">
        <v>80</v>
      </c>
      <c r="D266" s="35"/>
      <c r="E266" s="95"/>
      <c r="F266" s="95"/>
      <c r="G266" s="95"/>
      <c r="H266" s="276"/>
      <c r="I266" s="254"/>
      <c r="J266" s="15"/>
      <c r="K266" s="317"/>
    </row>
    <row r="267" spans="1:11" s="9" customFormat="1" ht="30" customHeight="1">
      <c r="A267" s="51" t="s">
        <v>13</v>
      </c>
      <c r="B267" s="35">
        <f>C267*1.43</f>
        <v>114.39999999999999</v>
      </c>
      <c r="C267" s="35">
        <v>80</v>
      </c>
      <c r="D267" s="35"/>
      <c r="E267" s="95"/>
      <c r="F267" s="95"/>
      <c r="G267" s="95"/>
      <c r="H267" s="276"/>
      <c r="I267" s="254"/>
      <c r="J267" s="15"/>
      <c r="K267" s="317"/>
    </row>
    <row r="268" spans="1:12" ht="30" customHeight="1">
      <c r="A268" s="53" t="s">
        <v>14</v>
      </c>
      <c r="B268" s="35">
        <f>C268*1.54</f>
        <v>123.2</v>
      </c>
      <c r="C268" s="35">
        <v>80</v>
      </c>
      <c r="D268" s="35"/>
      <c r="E268" s="95"/>
      <c r="F268" s="95"/>
      <c r="G268" s="95"/>
      <c r="H268" s="276"/>
      <c r="I268" s="254"/>
      <c r="J268" s="15"/>
      <c r="K268" s="317"/>
      <c r="L268" s="9"/>
    </row>
    <row r="269" spans="1:12" ht="30" customHeight="1">
      <c r="A269" s="53" t="s">
        <v>15</v>
      </c>
      <c r="B269" s="35">
        <f>C269*1.67</f>
        <v>133.6</v>
      </c>
      <c r="C269" s="35">
        <v>80</v>
      </c>
      <c r="D269" s="35"/>
      <c r="E269" s="95"/>
      <c r="F269" s="95"/>
      <c r="G269" s="95"/>
      <c r="H269" s="276"/>
      <c r="I269" s="254"/>
      <c r="J269" s="15"/>
      <c r="K269" s="317"/>
      <c r="L269" s="9"/>
    </row>
    <row r="270" spans="1:11" s="9" customFormat="1" ht="30" customHeight="1">
      <c r="A270" s="51" t="s">
        <v>60</v>
      </c>
      <c r="B270" s="35">
        <f>C270*1.25</f>
        <v>42.5</v>
      </c>
      <c r="C270" s="35">
        <v>34</v>
      </c>
      <c r="D270" s="35"/>
      <c r="E270" s="95"/>
      <c r="F270" s="95"/>
      <c r="G270" s="95"/>
      <c r="H270" s="276"/>
      <c r="I270" s="254"/>
      <c r="J270" s="15"/>
      <c r="K270" s="317"/>
    </row>
    <row r="271" spans="1:11" ht="30" customHeight="1">
      <c r="A271" s="51" t="s">
        <v>16</v>
      </c>
      <c r="B271" s="35">
        <f>C271*1.33</f>
        <v>45.22</v>
      </c>
      <c r="C271" s="35">
        <v>34</v>
      </c>
      <c r="D271" s="35"/>
      <c r="E271" s="95"/>
      <c r="F271" s="95"/>
      <c r="G271" s="95"/>
      <c r="H271" s="276"/>
      <c r="I271" s="254"/>
      <c r="J271" s="70"/>
      <c r="K271" s="339"/>
    </row>
    <row r="272" spans="1:11" ht="30" customHeight="1">
      <c r="A272" s="51" t="s">
        <v>18</v>
      </c>
      <c r="B272" s="37">
        <f>C272*1.19</f>
        <v>22.61</v>
      </c>
      <c r="C272" s="35">
        <v>19</v>
      </c>
      <c r="D272" s="35"/>
      <c r="E272" s="95"/>
      <c r="F272" s="95"/>
      <c r="G272" s="95"/>
      <c r="H272" s="276"/>
      <c r="I272" s="254"/>
      <c r="J272" s="15"/>
      <c r="K272" s="317"/>
    </row>
    <row r="273" spans="1:12" s="9" customFormat="1" ht="30" customHeight="1">
      <c r="A273" s="57" t="s">
        <v>54</v>
      </c>
      <c r="B273" s="5">
        <v>10</v>
      </c>
      <c r="C273" s="35">
        <v>10</v>
      </c>
      <c r="D273" s="35"/>
      <c r="E273" s="95"/>
      <c r="F273" s="95"/>
      <c r="G273" s="95"/>
      <c r="H273" s="276"/>
      <c r="I273" s="254"/>
      <c r="K273" s="313"/>
      <c r="L273" s="61"/>
    </row>
    <row r="274" spans="1:12" ht="30" customHeight="1">
      <c r="A274" s="56" t="s">
        <v>75</v>
      </c>
      <c r="B274" s="234">
        <f>C274*1.02</f>
        <v>22.44</v>
      </c>
      <c r="C274" s="60">
        <v>22</v>
      </c>
      <c r="D274" s="59"/>
      <c r="E274" s="342"/>
      <c r="F274" s="342"/>
      <c r="G274" s="342"/>
      <c r="H274" s="342"/>
      <c r="L274" s="291"/>
    </row>
    <row r="275" spans="1:11" ht="30" customHeight="1">
      <c r="A275" s="53" t="s">
        <v>99</v>
      </c>
      <c r="B275" s="122">
        <f>C275*1.18</f>
        <v>25.959999999999997</v>
      </c>
      <c r="C275" s="123">
        <v>22</v>
      </c>
      <c r="D275" s="124"/>
      <c r="E275" s="83"/>
      <c r="F275" s="83"/>
      <c r="G275" s="83"/>
      <c r="H275" s="77"/>
      <c r="I275" s="254"/>
      <c r="J275" s="200"/>
      <c r="K275" s="320"/>
    </row>
    <row r="276" spans="1:11" ht="30" customHeight="1">
      <c r="A276" s="51" t="s">
        <v>11</v>
      </c>
      <c r="B276" s="5">
        <v>10</v>
      </c>
      <c r="C276" s="35">
        <v>10</v>
      </c>
      <c r="D276" s="35"/>
      <c r="E276" s="95"/>
      <c r="F276" s="95"/>
      <c r="G276" s="95"/>
      <c r="H276" s="276"/>
      <c r="I276" s="254"/>
      <c r="J276" s="9"/>
      <c r="K276" s="313"/>
    </row>
    <row r="277" spans="1:11" ht="30" customHeight="1">
      <c r="A277" s="468" t="s">
        <v>69</v>
      </c>
      <c r="B277" s="468"/>
      <c r="C277" s="468"/>
      <c r="D277" s="468"/>
      <c r="E277" s="468"/>
      <c r="F277" s="468"/>
      <c r="G277" s="468"/>
      <c r="H277" s="468"/>
      <c r="I277" s="468"/>
      <c r="J277" s="9"/>
      <c r="K277" s="313"/>
    </row>
    <row r="278" spans="1:9" ht="30" customHeight="1">
      <c r="A278" s="483" t="s">
        <v>308</v>
      </c>
      <c r="B278" s="483"/>
      <c r="C278" s="483"/>
      <c r="D278" s="274">
        <v>200</v>
      </c>
      <c r="E278" s="44">
        <v>16.2</v>
      </c>
      <c r="F278" s="44">
        <v>17.2</v>
      </c>
      <c r="G278" s="44">
        <v>16.5</v>
      </c>
      <c r="H278" s="43">
        <f>E278*4+F278*9+G278*4</f>
        <v>285.59999999999997</v>
      </c>
      <c r="I278" s="221" t="s">
        <v>309</v>
      </c>
    </row>
    <row r="279" spans="1:12" ht="30" customHeight="1">
      <c r="A279" s="86" t="s">
        <v>86</v>
      </c>
      <c r="B279" s="48">
        <f>C279*1.36</f>
        <v>107.44000000000001</v>
      </c>
      <c r="C279" s="29">
        <v>79</v>
      </c>
      <c r="D279" s="5"/>
      <c r="E279" s="95"/>
      <c r="F279" s="95"/>
      <c r="G279" s="95"/>
      <c r="H279" s="276"/>
      <c r="I279" s="254"/>
      <c r="J279" s="9"/>
      <c r="K279" s="313"/>
      <c r="L279" s="9"/>
    </row>
    <row r="280" spans="1:11" s="9" customFormat="1" ht="30" customHeight="1">
      <c r="A280" s="86" t="s">
        <v>87</v>
      </c>
      <c r="B280" s="48">
        <f>C280*1.18</f>
        <v>93.22</v>
      </c>
      <c r="C280" s="35">
        <v>79</v>
      </c>
      <c r="D280" s="5"/>
      <c r="E280" s="44"/>
      <c r="F280" s="44"/>
      <c r="G280" s="44"/>
      <c r="H280" s="44"/>
      <c r="I280" s="254"/>
      <c r="K280" s="313"/>
    </row>
    <row r="281" spans="1:11" s="9" customFormat="1" ht="30" customHeight="1">
      <c r="A281" s="54" t="s">
        <v>11</v>
      </c>
      <c r="B281" s="37">
        <v>3</v>
      </c>
      <c r="C281" s="37">
        <v>3</v>
      </c>
      <c r="D281" s="36"/>
      <c r="E281" s="41"/>
      <c r="F281" s="41"/>
      <c r="G281" s="352"/>
      <c r="H281" s="266"/>
      <c r="I281" s="255"/>
      <c r="K281" s="313"/>
    </row>
    <row r="282" spans="1:12" s="8" customFormat="1" ht="30" customHeight="1">
      <c r="A282" s="52" t="s">
        <v>97</v>
      </c>
      <c r="B282" s="37"/>
      <c r="C282" s="35">
        <v>50</v>
      </c>
      <c r="D282" s="5"/>
      <c r="E282" s="95"/>
      <c r="F282" s="95"/>
      <c r="G282" s="95"/>
      <c r="H282" s="276"/>
      <c r="I282" s="254"/>
      <c r="J282" s="9"/>
      <c r="K282" s="313"/>
      <c r="L282" s="9"/>
    </row>
    <row r="283" spans="1:12" ht="30" customHeight="1">
      <c r="A283" s="51" t="s">
        <v>12</v>
      </c>
      <c r="B283" s="35">
        <f>C283*1.33</f>
        <v>159.60000000000002</v>
      </c>
      <c r="C283" s="35">
        <v>120</v>
      </c>
      <c r="D283" s="35"/>
      <c r="E283" s="95"/>
      <c r="F283" s="95"/>
      <c r="G283" s="95"/>
      <c r="H283" s="276"/>
      <c r="I283" s="254"/>
      <c r="J283" s="9"/>
      <c r="K283" s="313"/>
      <c r="L283" s="9"/>
    </row>
    <row r="284" spans="1:12" ht="30" customHeight="1">
      <c r="A284" s="51" t="s">
        <v>13</v>
      </c>
      <c r="B284" s="35">
        <f>C284*1.43</f>
        <v>171.6</v>
      </c>
      <c r="C284" s="35">
        <v>120</v>
      </c>
      <c r="D284" s="35"/>
      <c r="E284" s="95"/>
      <c r="F284" s="95"/>
      <c r="G284" s="95"/>
      <c r="H284" s="276"/>
      <c r="I284" s="254"/>
      <c r="J284" s="9"/>
      <c r="K284" s="313"/>
      <c r="L284" s="9"/>
    </row>
    <row r="285" spans="1:11" ht="30" customHeight="1">
      <c r="A285" s="53" t="s">
        <v>14</v>
      </c>
      <c r="B285" s="35">
        <f>C285*1.54</f>
        <v>184.8</v>
      </c>
      <c r="C285" s="35">
        <v>120</v>
      </c>
      <c r="D285" s="35"/>
      <c r="E285" s="95"/>
      <c r="F285" s="95"/>
      <c r="G285" s="95"/>
      <c r="H285" s="276"/>
      <c r="I285" s="254"/>
      <c r="J285" s="9"/>
      <c r="K285" s="313"/>
    </row>
    <row r="286" spans="1:11" s="9" customFormat="1" ht="30" customHeight="1">
      <c r="A286" s="53" t="s">
        <v>15</v>
      </c>
      <c r="B286" s="35">
        <f>C286*1.67</f>
        <v>200.39999999999998</v>
      </c>
      <c r="C286" s="35">
        <v>120</v>
      </c>
      <c r="D286" s="35"/>
      <c r="E286" s="95"/>
      <c r="F286" s="95"/>
      <c r="G286" s="95"/>
      <c r="H286" s="276"/>
      <c r="I286" s="254"/>
      <c r="K286" s="313"/>
    </row>
    <row r="287" spans="1:12" s="9" customFormat="1" ht="30" customHeight="1">
      <c r="A287" s="51" t="s">
        <v>18</v>
      </c>
      <c r="B287" s="37">
        <f>C287*1.19</f>
        <v>17.849999999999998</v>
      </c>
      <c r="C287" s="35">
        <v>15</v>
      </c>
      <c r="D287" s="35"/>
      <c r="E287" s="95"/>
      <c r="F287" s="95"/>
      <c r="G287" s="95"/>
      <c r="H287" s="276"/>
      <c r="I287" s="254"/>
      <c r="K287" s="313"/>
      <c r="L287" s="162"/>
    </row>
    <row r="288" spans="1:12" s="9" customFormat="1" ht="30" customHeight="1">
      <c r="A288" s="57" t="s">
        <v>54</v>
      </c>
      <c r="B288" s="5">
        <v>8</v>
      </c>
      <c r="C288" s="35">
        <v>8</v>
      </c>
      <c r="D288" s="35"/>
      <c r="E288" s="95"/>
      <c r="F288" s="95"/>
      <c r="G288" s="95"/>
      <c r="H288" s="276"/>
      <c r="I288" s="254"/>
      <c r="K288" s="313"/>
      <c r="L288" s="61"/>
    </row>
    <row r="289" spans="1:11" s="9" customFormat="1" ht="30" customHeight="1">
      <c r="A289" s="51" t="s">
        <v>11</v>
      </c>
      <c r="B289" s="5">
        <v>10</v>
      </c>
      <c r="C289" s="35">
        <v>10</v>
      </c>
      <c r="D289" s="35"/>
      <c r="E289" s="95"/>
      <c r="F289" s="95"/>
      <c r="G289" s="95"/>
      <c r="H289" s="276"/>
      <c r="I289" s="254"/>
      <c r="K289" s="313"/>
    </row>
    <row r="290" spans="1:12" s="9" customFormat="1" ht="30" customHeight="1">
      <c r="A290" s="494" t="s">
        <v>331</v>
      </c>
      <c r="B290" s="482"/>
      <c r="C290" s="482"/>
      <c r="D290" s="145">
        <v>200</v>
      </c>
      <c r="E290" s="104">
        <v>0.2</v>
      </c>
      <c r="F290" s="104">
        <v>0.1</v>
      </c>
      <c r="G290" s="104">
        <v>21.5</v>
      </c>
      <c r="H290" s="43">
        <f>G290*4+F290*9+E290*4</f>
        <v>87.7</v>
      </c>
      <c r="I290" s="256" t="s">
        <v>332</v>
      </c>
      <c r="K290" s="313"/>
      <c r="L290" s="61"/>
    </row>
    <row r="291" spans="1:12" s="9" customFormat="1" ht="30" customHeight="1">
      <c r="A291" s="56" t="s">
        <v>353</v>
      </c>
      <c r="B291" s="177">
        <f>C291*1.06</f>
        <v>25.44</v>
      </c>
      <c r="C291" s="50">
        <v>24</v>
      </c>
      <c r="D291" s="230"/>
      <c r="E291" s="144"/>
      <c r="F291" s="144"/>
      <c r="G291" s="144"/>
      <c r="H291" s="247"/>
      <c r="I291" s="255"/>
      <c r="K291" s="313"/>
      <c r="L291" s="61"/>
    </row>
    <row r="292" spans="1:8" ht="30" customHeight="1">
      <c r="A292" s="56" t="s">
        <v>351</v>
      </c>
      <c r="B292" s="177">
        <f>C292*1.06</f>
        <v>25.44</v>
      </c>
      <c r="C292" s="50">
        <v>24</v>
      </c>
      <c r="D292" s="230"/>
      <c r="E292" s="144"/>
      <c r="F292" s="144"/>
      <c r="G292" s="144"/>
      <c r="H292" s="247"/>
    </row>
    <row r="293" spans="1:12" s="9" customFormat="1" ht="30" customHeight="1">
      <c r="A293" s="53" t="s">
        <v>4</v>
      </c>
      <c r="B293" s="36">
        <v>15</v>
      </c>
      <c r="C293" s="36">
        <v>15</v>
      </c>
      <c r="D293" s="36"/>
      <c r="E293" s="233"/>
      <c r="F293" s="233"/>
      <c r="G293" s="233"/>
      <c r="H293" s="249"/>
      <c r="I293" s="254"/>
      <c r="K293" s="313"/>
      <c r="L293" s="61"/>
    </row>
    <row r="294" spans="1:8" ht="30" customHeight="1">
      <c r="A294" s="53" t="s">
        <v>333</v>
      </c>
      <c r="B294" s="50">
        <v>6</v>
      </c>
      <c r="C294" s="50">
        <v>6</v>
      </c>
      <c r="D294" s="230"/>
      <c r="E294" s="144"/>
      <c r="F294" s="144"/>
      <c r="G294" s="144"/>
      <c r="H294" s="247"/>
    </row>
    <row r="295" spans="1:12" s="9" customFormat="1" ht="30" customHeight="1">
      <c r="A295" s="146" t="s">
        <v>20</v>
      </c>
      <c r="B295" s="36">
        <v>50</v>
      </c>
      <c r="C295" s="36">
        <v>50</v>
      </c>
      <c r="D295" s="23">
        <v>50</v>
      </c>
      <c r="E295" s="109">
        <v>2.5</v>
      </c>
      <c r="F295" s="109">
        <v>0.7000000000000001</v>
      </c>
      <c r="G295" s="109">
        <v>20.25</v>
      </c>
      <c r="H295" s="109">
        <v>97.3</v>
      </c>
      <c r="I295" s="344"/>
      <c r="K295" s="313"/>
      <c r="L295" s="61"/>
    </row>
    <row r="296" spans="1:12" s="9" customFormat="1" ht="30" customHeight="1">
      <c r="A296" s="483" t="s">
        <v>74</v>
      </c>
      <c r="B296" s="482"/>
      <c r="C296" s="482"/>
      <c r="D296" s="77">
        <v>50</v>
      </c>
      <c r="E296" s="95"/>
      <c r="F296" s="95"/>
      <c r="G296" s="95"/>
      <c r="H296" s="95"/>
      <c r="I296" s="254"/>
      <c r="K296" s="313"/>
      <c r="L296" s="61"/>
    </row>
    <row r="297" spans="1:12" s="9" customFormat="1" ht="30" customHeight="1">
      <c r="A297" s="203" t="s">
        <v>26</v>
      </c>
      <c r="B297" s="36">
        <v>40</v>
      </c>
      <c r="C297" s="36">
        <v>40</v>
      </c>
      <c r="D297" s="23">
        <v>40</v>
      </c>
      <c r="E297" s="109">
        <v>1.4</v>
      </c>
      <c r="F297" s="109">
        <v>0.4</v>
      </c>
      <c r="G297" s="109">
        <v>18.8</v>
      </c>
      <c r="H297" s="238">
        <v>82</v>
      </c>
      <c r="I297" s="255"/>
      <c r="K297" s="313"/>
      <c r="L297" s="61"/>
    </row>
    <row r="298" spans="1:11" s="9" customFormat="1" ht="30" customHeight="1">
      <c r="A298" s="472" t="s">
        <v>24</v>
      </c>
      <c r="B298" s="472"/>
      <c r="C298" s="472"/>
      <c r="D298" s="472"/>
      <c r="E298" s="99">
        <f>E241+E205</f>
        <v>54.533333333333324</v>
      </c>
      <c r="F298" s="99">
        <f>F241+F205</f>
        <v>50.925</v>
      </c>
      <c r="G298" s="99">
        <f>G241+G205</f>
        <v>152.64999999999998</v>
      </c>
      <c r="H298" s="96">
        <f>H241+H205</f>
        <v>1284.6583333333333</v>
      </c>
      <c r="I298" s="254"/>
      <c r="K298" s="313"/>
    </row>
    <row r="299" spans="1:9" ht="30" customHeight="1">
      <c r="A299" s="478" t="s">
        <v>43</v>
      </c>
      <c r="B299" s="478"/>
      <c r="C299" s="478"/>
      <c r="D299" s="478"/>
      <c r="E299" s="478"/>
      <c r="F299" s="478"/>
      <c r="G299" s="478"/>
      <c r="H299" s="478"/>
      <c r="I299" s="478"/>
    </row>
    <row r="300" spans="1:11" ht="30" customHeight="1">
      <c r="A300" s="470" t="s">
        <v>0</v>
      </c>
      <c r="B300" s="471" t="s">
        <v>6</v>
      </c>
      <c r="C300" s="471" t="s">
        <v>7</v>
      </c>
      <c r="D300" s="470" t="s">
        <v>5</v>
      </c>
      <c r="E300" s="470"/>
      <c r="F300" s="470"/>
      <c r="G300" s="470"/>
      <c r="H300" s="470"/>
      <c r="I300" s="470"/>
      <c r="K300" s="321" t="s">
        <v>43</v>
      </c>
    </row>
    <row r="301" spans="1:12" ht="30" customHeight="1">
      <c r="A301" s="470"/>
      <c r="B301" s="471"/>
      <c r="C301" s="471"/>
      <c r="D301" s="135" t="s">
        <v>8</v>
      </c>
      <c r="E301" s="281" t="s">
        <v>1</v>
      </c>
      <c r="F301" s="281" t="s">
        <v>2</v>
      </c>
      <c r="G301" s="281" t="s">
        <v>9</v>
      </c>
      <c r="H301" s="280" t="s">
        <v>3</v>
      </c>
      <c r="I301" s="282" t="s">
        <v>190</v>
      </c>
      <c r="K301" s="97" t="s">
        <v>26</v>
      </c>
      <c r="L301" s="61">
        <f>D417</f>
        <v>40</v>
      </c>
    </row>
    <row r="302" spans="1:12" ht="30" customHeight="1">
      <c r="A302" s="485" t="s">
        <v>105</v>
      </c>
      <c r="B302" s="485"/>
      <c r="C302" s="485"/>
      <c r="D302" s="245">
        <f>95+D352+D363+D362</f>
        <v>595</v>
      </c>
      <c r="E302" s="99">
        <f>E362+E303+E352+E363+E366</f>
        <v>17.099999999999998</v>
      </c>
      <c r="F302" s="99">
        <f>F362+F303+F352+F363+F366</f>
        <v>19.2</v>
      </c>
      <c r="G302" s="99">
        <f>G362+G303+G352+G363+G366</f>
        <v>77.2</v>
      </c>
      <c r="H302" s="99">
        <f>H362+H303+H352+H363+H366</f>
        <v>550.8</v>
      </c>
      <c r="I302" s="258"/>
      <c r="K302" s="97" t="s">
        <v>126</v>
      </c>
      <c r="L302" s="62">
        <f>D415+C395+D366+C400</f>
        <v>75</v>
      </c>
    </row>
    <row r="303" spans="1:12" ht="30" customHeight="1">
      <c r="A303" s="489" t="s">
        <v>468</v>
      </c>
      <c r="B303" s="489"/>
      <c r="C303" s="489"/>
      <c r="D303" s="23" t="s">
        <v>229</v>
      </c>
      <c r="E303" s="342">
        <v>12.2</v>
      </c>
      <c r="F303" s="342">
        <v>13.2</v>
      </c>
      <c r="G303" s="342">
        <v>5.4</v>
      </c>
      <c r="H303" s="375">
        <f>E303*4+F303*9+G303*4</f>
        <v>189.2</v>
      </c>
      <c r="I303" s="243" t="s">
        <v>467</v>
      </c>
      <c r="K303" s="301" t="s">
        <v>155</v>
      </c>
      <c r="L303" s="62">
        <f>C316</f>
        <v>6.5</v>
      </c>
    </row>
    <row r="304" spans="1:12" ht="30" customHeight="1">
      <c r="A304" s="55" t="s">
        <v>347</v>
      </c>
      <c r="B304" s="48">
        <f>C304*2.32</f>
        <v>99.75999999999999</v>
      </c>
      <c r="C304" s="393" t="s">
        <v>391</v>
      </c>
      <c r="D304" s="394"/>
      <c r="E304" s="395"/>
      <c r="F304" s="395"/>
      <c r="G304" s="395"/>
      <c r="H304" s="395"/>
      <c r="I304" s="236"/>
      <c r="K304" s="97" t="s">
        <v>66</v>
      </c>
      <c r="L304" s="62">
        <f>C404</f>
        <v>38</v>
      </c>
    </row>
    <row r="305" spans="1:12" ht="30" customHeight="1">
      <c r="A305" s="112" t="s">
        <v>151</v>
      </c>
      <c r="B305" s="48">
        <f>C305*1.34</f>
        <v>57.620000000000005</v>
      </c>
      <c r="C305" s="393" t="s">
        <v>391</v>
      </c>
      <c r="D305" s="394"/>
      <c r="E305" s="395"/>
      <c r="F305" s="395"/>
      <c r="G305" s="395"/>
      <c r="H305" s="395"/>
      <c r="I305" s="236"/>
      <c r="K305" s="97" t="s">
        <v>65</v>
      </c>
      <c r="L305" s="17"/>
    </row>
    <row r="306" spans="1:12" ht="30" customHeight="1">
      <c r="A306" s="112" t="s">
        <v>125</v>
      </c>
      <c r="B306" s="48">
        <f>C306*1.054</f>
        <v>45.322</v>
      </c>
      <c r="C306" s="393" t="s">
        <v>391</v>
      </c>
      <c r="D306" s="394"/>
      <c r="E306" s="395"/>
      <c r="F306" s="95"/>
      <c r="G306" s="95"/>
      <c r="H306" s="87"/>
      <c r="I306" s="236"/>
      <c r="K306" s="97" t="s">
        <v>27</v>
      </c>
      <c r="L306" s="17">
        <f>C380+C353</f>
        <v>166</v>
      </c>
    </row>
    <row r="307" spans="1:12" ht="30" customHeight="1">
      <c r="A307" s="53" t="s">
        <v>52</v>
      </c>
      <c r="B307" s="36">
        <v>14</v>
      </c>
      <c r="C307" s="36">
        <v>14</v>
      </c>
      <c r="D307" s="36"/>
      <c r="E307" s="382"/>
      <c r="F307" s="41"/>
      <c r="G307" s="41"/>
      <c r="H307" s="36"/>
      <c r="I307" s="236"/>
      <c r="K307" s="301" t="s">
        <v>201</v>
      </c>
      <c r="L307" s="62">
        <f>C387+C388+C371+C384+C375+C385+C313+C314+C357+C359+C360+C390+C397+C399</f>
        <v>179.5</v>
      </c>
    </row>
    <row r="308" spans="1:12" ht="30" customHeight="1">
      <c r="A308" s="58" t="s">
        <v>38</v>
      </c>
      <c r="B308" s="89">
        <f>B307*460/1000</f>
        <v>6.44</v>
      </c>
      <c r="C308" s="89">
        <f>C307*460/1000</f>
        <v>6.44</v>
      </c>
      <c r="D308" s="36"/>
      <c r="E308" s="395"/>
      <c r="F308" s="95"/>
      <c r="G308" s="95"/>
      <c r="H308" s="276"/>
      <c r="I308" s="236"/>
      <c r="K308" s="97" t="s">
        <v>28</v>
      </c>
      <c r="L308" s="17">
        <f>C370+D362</f>
        <v>170</v>
      </c>
    </row>
    <row r="309" spans="1:12" ht="30" customHeight="1">
      <c r="A309" s="58" t="s">
        <v>39</v>
      </c>
      <c r="B309" s="89">
        <f>B307*120/1000</f>
        <v>1.68</v>
      </c>
      <c r="C309" s="89">
        <f>C307*120/1000</f>
        <v>1.68</v>
      </c>
      <c r="D309" s="36"/>
      <c r="E309" s="395"/>
      <c r="F309" s="95"/>
      <c r="G309" s="95"/>
      <c r="H309" s="276"/>
      <c r="I309" s="236"/>
      <c r="K309" s="97" t="s">
        <v>170</v>
      </c>
      <c r="L309" s="61">
        <f>C364</f>
        <v>25</v>
      </c>
    </row>
    <row r="310" spans="1:12" ht="30" customHeight="1">
      <c r="A310" s="181" t="s">
        <v>149</v>
      </c>
      <c r="B310" s="182">
        <f>B307-B308</f>
        <v>7.56</v>
      </c>
      <c r="C310" s="182">
        <f>C307-C308</f>
        <v>7.56</v>
      </c>
      <c r="D310" s="36"/>
      <c r="E310" s="395"/>
      <c r="F310" s="95"/>
      <c r="G310" s="95"/>
      <c r="H310" s="276"/>
      <c r="I310" s="236"/>
      <c r="K310" s="97" t="s">
        <v>202</v>
      </c>
      <c r="L310" s="62">
        <f>C365</f>
        <v>15</v>
      </c>
    </row>
    <row r="311" spans="1:12" ht="30" customHeight="1">
      <c r="A311" s="181" t="s">
        <v>150</v>
      </c>
      <c r="B311" s="182">
        <f>B307-B309</f>
        <v>12.32</v>
      </c>
      <c r="C311" s="182">
        <f>C307-C309</f>
        <v>12.32</v>
      </c>
      <c r="D311" s="36"/>
      <c r="E311" s="395"/>
      <c r="F311" s="95"/>
      <c r="G311" s="95"/>
      <c r="H311" s="276"/>
      <c r="I311" s="236"/>
      <c r="K311" s="97" t="s">
        <v>357</v>
      </c>
      <c r="L311" s="61">
        <f>D407</f>
        <v>200</v>
      </c>
    </row>
    <row r="312" spans="1:11" ht="30" customHeight="1">
      <c r="A312" s="56" t="s">
        <v>84</v>
      </c>
      <c r="B312" s="37">
        <v>7</v>
      </c>
      <c r="C312" s="37">
        <v>7</v>
      </c>
      <c r="D312" s="274"/>
      <c r="E312" s="395"/>
      <c r="F312" s="41"/>
      <c r="G312" s="41"/>
      <c r="H312" s="37"/>
      <c r="I312" s="236"/>
      <c r="K312" s="102" t="s">
        <v>29</v>
      </c>
    </row>
    <row r="313" spans="1:12" ht="30" customHeight="1">
      <c r="A313" s="56" t="s">
        <v>18</v>
      </c>
      <c r="B313" s="37">
        <f>C313*1.19</f>
        <v>10.709999999999999</v>
      </c>
      <c r="C313" s="37">
        <v>9</v>
      </c>
      <c r="D313" s="274"/>
      <c r="E313" s="395"/>
      <c r="F313" s="41"/>
      <c r="G313" s="41"/>
      <c r="H313" s="37"/>
      <c r="I313" s="236"/>
      <c r="K313" s="97" t="s">
        <v>70</v>
      </c>
      <c r="L313" s="9"/>
    </row>
    <row r="314" spans="1:12" ht="30" customHeight="1">
      <c r="A314" s="51" t="s">
        <v>60</v>
      </c>
      <c r="B314" s="35">
        <f>C314*1.25</f>
        <v>42.5</v>
      </c>
      <c r="C314" s="5">
        <v>34</v>
      </c>
      <c r="D314" s="276"/>
      <c r="E314" s="395"/>
      <c r="F314" s="95"/>
      <c r="G314" s="95"/>
      <c r="H314" s="95"/>
      <c r="I314" s="236"/>
      <c r="K314" s="97" t="s">
        <v>182</v>
      </c>
      <c r="L314" s="9"/>
    </row>
    <row r="315" spans="1:12" ht="30" customHeight="1">
      <c r="A315" s="51" t="s">
        <v>16</v>
      </c>
      <c r="B315" s="35">
        <f>C315*1.33</f>
        <v>45.22</v>
      </c>
      <c r="C315" s="5">
        <v>34</v>
      </c>
      <c r="D315" s="276"/>
      <c r="E315" s="395"/>
      <c r="F315" s="95"/>
      <c r="G315" s="95"/>
      <c r="H315" s="95"/>
      <c r="I315" s="236"/>
      <c r="K315" s="97" t="s">
        <v>183</v>
      </c>
      <c r="L315" s="9"/>
    </row>
    <row r="316" spans="1:12" ht="30" customHeight="1">
      <c r="A316" s="56" t="s">
        <v>21</v>
      </c>
      <c r="B316" s="37">
        <v>6.5</v>
      </c>
      <c r="C316" s="37">
        <v>6.5</v>
      </c>
      <c r="D316" s="274"/>
      <c r="E316" s="395"/>
      <c r="F316" s="41"/>
      <c r="G316" s="41"/>
      <c r="H316" s="37"/>
      <c r="I316" s="236"/>
      <c r="K316" s="290" t="s">
        <v>30</v>
      </c>
      <c r="L316" s="166"/>
    </row>
    <row r="317" spans="1:12" ht="30" customHeight="1">
      <c r="A317" s="56" t="s">
        <v>56</v>
      </c>
      <c r="B317" s="37">
        <v>10</v>
      </c>
      <c r="C317" s="37">
        <v>10</v>
      </c>
      <c r="D317" s="274"/>
      <c r="E317" s="395"/>
      <c r="F317" s="41"/>
      <c r="G317" s="41"/>
      <c r="H317" s="37"/>
      <c r="I317" s="236"/>
      <c r="K317" s="97" t="s">
        <v>172</v>
      </c>
      <c r="L317" s="17">
        <f>C378+C392+C393</f>
        <v>100</v>
      </c>
    </row>
    <row r="318" spans="1:12" ht="30" customHeight="1">
      <c r="A318" s="396" t="s">
        <v>161</v>
      </c>
      <c r="B318" s="36">
        <v>3</v>
      </c>
      <c r="C318" s="36">
        <v>3</v>
      </c>
      <c r="D318" s="274"/>
      <c r="E318" s="395"/>
      <c r="F318" s="41"/>
      <c r="G318" s="41"/>
      <c r="H318" s="37"/>
      <c r="I318" s="236"/>
      <c r="K318" s="97" t="s">
        <v>174</v>
      </c>
      <c r="L318" s="17" t="str">
        <f>C304</f>
        <v>43</v>
      </c>
    </row>
    <row r="319" spans="1:12" ht="30" customHeight="1">
      <c r="A319" s="51" t="s">
        <v>37</v>
      </c>
      <c r="B319" s="5">
        <v>5</v>
      </c>
      <c r="C319" s="5">
        <v>5</v>
      </c>
      <c r="D319" s="274"/>
      <c r="E319" s="395"/>
      <c r="F319" s="41"/>
      <c r="G319" s="41"/>
      <c r="H319" s="37"/>
      <c r="I319" s="236"/>
      <c r="K319" s="97" t="s">
        <v>173</v>
      </c>
      <c r="L319" s="9"/>
    </row>
    <row r="320" spans="1:12" ht="30" customHeight="1">
      <c r="A320" s="468" t="s">
        <v>69</v>
      </c>
      <c r="B320" s="468"/>
      <c r="C320" s="468"/>
      <c r="D320" s="468"/>
      <c r="E320" s="468"/>
      <c r="F320" s="468"/>
      <c r="G320" s="468"/>
      <c r="H320" s="468"/>
      <c r="I320" s="468"/>
      <c r="K320" s="97" t="s">
        <v>175</v>
      </c>
      <c r="L320" s="9"/>
    </row>
    <row r="321" spans="1:12" ht="30" customHeight="1">
      <c r="A321" s="476" t="s">
        <v>458</v>
      </c>
      <c r="B321" s="477"/>
      <c r="C321" s="477"/>
      <c r="D321" s="23" t="s">
        <v>229</v>
      </c>
      <c r="E321" s="109">
        <v>11.2</v>
      </c>
      <c r="F321" s="109">
        <v>11.9</v>
      </c>
      <c r="G321" s="109">
        <v>9.5</v>
      </c>
      <c r="H321" s="238">
        <f>E321*4+F321*9+G321*4</f>
        <v>189.9</v>
      </c>
      <c r="I321" s="243" t="s">
        <v>417</v>
      </c>
      <c r="K321" s="205" t="s">
        <v>80</v>
      </c>
      <c r="L321" s="17">
        <f>C307+C396</f>
        <v>25</v>
      </c>
    </row>
    <row r="322" spans="1:12" ht="30" customHeight="1">
      <c r="A322" s="112" t="s">
        <v>418</v>
      </c>
      <c r="B322" s="390">
        <f>C322*1.17</f>
        <v>24.57</v>
      </c>
      <c r="C322" s="60">
        <v>21</v>
      </c>
      <c r="D322" s="276"/>
      <c r="E322" s="95"/>
      <c r="F322" s="95"/>
      <c r="G322" s="95"/>
      <c r="H322" s="95"/>
      <c r="I322" s="401"/>
      <c r="K322" s="206" t="s">
        <v>176</v>
      </c>
      <c r="L322" s="17"/>
    </row>
    <row r="323" spans="1:12" ht="30" customHeight="1">
      <c r="A323" s="86" t="s">
        <v>419</v>
      </c>
      <c r="B323" s="48">
        <f>C323*1.054</f>
        <v>41.106</v>
      </c>
      <c r="C323" s="60">
        <v>39</v>
      </c>
      <c r="D323" s="276"/>
      <c r="E323" s="44"/>
      <c r="F323" s="44"/>
      <c r="G323" s="44"/>
      <c r="H323" s="44"/>
      <c r="I323" s="133"/>
      <c r="K323" s="97" t="s">
        <v>177</v>
      </c>
      <c r="L323" s="17"/>
    </row>
    <row r="324" spans="1:12" ht="30" customHeight="1">
      <c r="A324" s="56" t="s">
        <v>10</v>
      </c>
      <c r="B324" s="90">
        <v>13</v>
      </c>
      <c r="C324" s="90">
        <v>13</v>
      </c>
      <c r="D324" s="276"/>
      <c r="E324" s="41"/>
      <c r="F324" s="41"/>
      <c r="G324" s="41"/>
      <c r="H324" s="37"/>
      <c r="I324" s="402"/>
      <c r="K324" s="97" t="s">
        <v>31</v>
      </c>
      <c r="L324" s="17">
        <f>C317+C389</f>
        <v>15</v>
      </c>
    </row>
    <row r="325" spans="1:12" ht="30" customHeight="1">
      <c r="A325" s="56" t="s">
        <v>52</v>
      </c>
      <c r="B325" s="60">
        <v>16</v>
      </c>
      <c r="C325" s="60">
        <v>16</v>
      </c>
      <c r="D325" s="36"/>
      <c r="E325" s="41"/>
      <c r="F325" s="41"/>
      <c r="G325" s="41"/>
      <c r="H325" s="36"/>
      <c r="I325" s="403"/>
      <c r="K325" s="301" t="s">
        <v>178</v>
      </c>
      <c r="L325" s="335">
        <f>C374</f>
        <v>6</v>
      </c>
    </row>
    <row r="326" spans="1:12" ht="30" customHeight="1">
      <c r="A326" s="58" t="s">
        <v>38</v>
      </c>
      <c r="B326" s="89">
        <f>B325*460/1000</f>
        <v>7.36</v>
      </c>
      <c r="C326" s="89">
        <f>C325*460/1000</f>
        <v>7.36</v>
      </c>
      <c r="D326" s="276"/>
      <c r="E326" s="41"/>
      <c r="F326" s="41"/>
      <c r="G326" s="41"/>
      <c r="H326" s="36"/>
      <c r="I326" s="403"/>
      <c r="K326" s="97" t="s">
        <v>32</v>
      </c>
      <c r="L326" s="17">
        <f>C386+C406+C361+C319+C402</f>
        <v>28</v>
      </c>
    </row>
    <row r="327" spans="1:12" ht="30" customHeight="1">
      <c r="A327" s="58" t="s">
        <v>39</v>
      </c>
      <c r="B327" s="89">
        <f>B325*120/1000</f>
        <v>1.92</v>
      </c>
      <c r="C327" s="89">
        <f>C325*120/1000</f>
        <v>1.92</v>
      </c>
      <c r="D327" s="276"/>
      <c r="E327" s="41"/>
      <c r="F327" s="41"/>
      <c r="G327" s="41"/>
      <c r="H327" s="36"/>
      <c r="I327" s="403"/>
      <c r="K327" s="97" t="s">
        <v>33</v>
      </c>
      <c r="L327" s="17">
        <f>C376+C318+C401</f>
        <v>8</v>
      </c>
    </row>
    <row r="328" spans="1:12" ht="30" customHeight="1">
      <c r="A328" s="181" t="s">
        <v>149</v>
      </c>
      <c r="B328" s="182">
        <f>B325-B326</f>
        <v>8.64</v>
      </c>
      <c r="C328" s="182">
        <f>C325-C326</f>
        <v>8.64</v>
      </c>
      <c r="D328" s="276"/>
      <c r="E328" s="41"/>
      <c r="F328" s="41"/>
      <c r="G328" s="41"/>
      <c r="H328" s="36"/>
      <c r="I328" s="403"/>
      <c r="K328" s="97" t="s">
        <v>179</v>
      </c>
      <c r="L328" s="17">
        <f>C312+C398</f>
        <v>10.5</v>
      </c>
    </row>
    <row r="329" spans="1:11" ht="30" customHeight="1">
      <c r="A329" s="181" t="s">
        <v>150</v>
      </c>
      <c r="B329" s="182">
        <f>B325-B327</f>
        <v>14.08</v>
      </c>
      <c r="C329" s="182">
        <f>C325-C327</f>
        <v>14.08</v>
      </c>
      <c r="D329" s="276"/>
      <c r="E329" s="41"/>
      <c r="F329" s="41"/>
      <c r="G329" s="41"/>
      <c r="H329" s="36"/>
      <c r="I329" s="403"/>
      <c r="K329" s="97" t="s">
        <v>334</v>
      </c>
    </row>
    <row r="330" spans="1:12" ht="30" customHeight="1">
      <c r="A330" s="56" t="s">
        <v>18</v>
      </c>
      <c r="B330" s="90">
        <f>C330*1.19</f>
        <v>32.129999999999995</v>
      </c>
      <c r="C330" s="90">
        <v>27</v>
      </c>
      <c r="D330" s="276"/>
      <c r="E330" s="41"/>
      <c r="F330" s="41"/>
      <c r="G330" s="41"/>
      <c r="H330" s="37"/>
      <c r="I330" s="402"/>
      <c r="K330" s="97" t="s">
        <v>181</v>
      </c>
      <c r="L330" s="15">
        <v>1.5</v>
      </c>
    </row>
    <row r="331" spans="1:12" ht="30" customHeight="1">
      <c r="A331" s="56" t="s">
        <v>19</v>
      </c>
      <c r="B331" s="90">
        <v>3</v>
      </c>
      <c r="C331" s="90">
        <v>3</v>
      </c>
      <c r="D331" s="276"/>
      <c r="E331" s="41"/>
      <c r="F331" s="41"/>
      <c r="G331" s="41"/>
      <c r="H331" s="37"/>
      <c r="I331" s="402"/>
      <c r="K331" s="97" t="s">
        <v>180</v>
      </c>
      <c r="L331" s="15">
        <v>1</v>
      </c>
    </row>
    <row r="332" spans="1:12" ht="30" customHeight="1">
      <c r="A332" s="56" t="s">
        <v>147</v>
      </c>
      <c r="B332" s="90"/>
      <c r="C332" s="90">
        <v>14</v>
      </c>
      <c r="D332" s="276"/>
      <c r="E332" s="41"/>
      <c r="F332" s="41"/>
      <c r="G332" s="41"/>
      <c r="H332" s="37"/>
      <c r="I332" s="402"/>
      <c r="K332" s="290"/>
      <c r="L332" s="166"/>
    </row>
    <row r="333" spans="1:12" ht="30" customHeight="1">
      <c r="A333" s="53" t="s">
        <v>420</v>
      </c>
      <c r="B333" s="90">
        <v>5</v>
      </c>
      <c r="C333" s="90">
        <v>5</v>
      </c>
      <c r="D333" s="36"/>
      <c r="E333" s="41"/>
      <c r="F333" s="41"/>
      <c r="G333" s="41"/>
      <c r="H333" s="37"/>
      <c r="I333" s="402"/>
      <c r="K333" s="290"/>
      <c r="L333" s="166"/>
    </row>
    <row r="334" spans="1:9" s="9" customFormat="1" ht="30" customHeight="1">
      <c r="A334" s="56" t="s">
        <v>22</v>
      </c>
      <c r="B334" s="90">
        <v>6</v>
      </c>
      <c r="C334" s="90">
        <v>6</v>
      </c>
      <c r="D334" s="276"/>
      <c r="E334" s="41"/>
      <c r="F334" s="41"/>
      <c r="G334" s="41"/>
      <c r="H334" s="37"/>
      <c r="I334" s="402"/>
    </row>
    <row r="335" spans="1:9" s="9" customFormat="1" ht="30" customHeight="1">
      <c r="A335" s="56" t="s">
        <v>161</v>
      </c>
      <c r="B335" s="90">
        <v>2</v>
      </c>
      <c r="C335" s="90">
        <v>2</v>
      </c>
      <c r="D335" s="36"/>
      <c r="E335" s="41"/>
      <c r="F335" s="41"/>
      <c r="G335" s="41"/>
      <c r="H335" s="37"/>
      <c r="I335" s="402"/>
    </row>
    <row r="336" spans="1:9" s="9" customFormat="1" ht="30" customHeight="1">
      <c r="A336" s="51" t="s">
        <v>37</v>
      </c>
      <c r="B336" s="5">
        <v>5</v>
      </c>
      <c r="C336" s="5">
        <v>5</v>
      </c>
      <c r="D336" s="36"/>
      <c r="E336" s="41"/>
      <c r="F336" s="41"/>
      <c r="G336" s="41"/>
      <c r="H336" s="37"/>
      <c r="I336" s="386"/>
    </row>
    <row r="337" spans="1:9" s="9" customFormat="1" ht="30" customHeight="1">
      <c r="A337" s="468" t="s">
        <v>69</v>
      </c>
      <c r="B337" s="468"/>
      <c r="C337" s="468"/>
      <c r="D337" s="468"/>
      <c r="E337" s="468"/>
      <c r="F337" s="468"/>
      <c r="G337" s="468"/>
      <c r="H337" s="468"/>
      <c r="I337" s="468"/>
    </row>
    <row r="338" spans="1:9" s="9" customFormat="1" ht="30" customHeight="1">
      <c r="A338" s="469" t="s">
        <v>228</v>
      </c>
      <c r="B338" s="469"/>
      <c r="C338" s="469"/>
      <c r="D338" s="21" t="s">
        <v>229</v>
      </c>
      <c r="E338" s="44">
        <v>13.3</v>
      </c>
      <c r="F338" s="44">
        <v>12.9</v>
      </c>
      <c r="G338" s="44">
        <v>10.8</v>
      </c>
      <c r="H338" s="43">
        <f>G338*4+F338*9+E338*4</f>
        <v>212.5</v>
      </c>
      <c r="I338" s="256" t="s">
        <v>227</v>
      </c>
    </row>
    <row r="339" spans="1:13" s="9" customFormat="1" ht="30" customHeight="1">
      <c r="A339" s="86" t="s">
        <v>86</v>
      </c>
      <c r="B339" s="48">
        <f>C339*1.36</f>
        <v>91.12</v>
      </c>
      <c r="C339" s="5">
        <v>67</v>
      </c>
      <c r="D339" s="36"/>
      <c r="E339" s="95"/>
      <c r="F339" s="44"/>
      <c r="G339" s="44"/>
      <c r="H339" s="43"/>
      <c r="I339" s="255"/>
      <c r="J339" s="61"/>
      <c r="M339" s="61"/>
    </row>
    <row r="340" spans="1:9" s="9" customFormat="1" ht="30" customHeight="1">
      <c r="A340" s="86" t="s">
        <v>87</v>
      </c>
      <c r="B340" s="48">
        <f>C340*1.18</f>
        <v>79.06</v>
      </c>
      <c r="C340" s="35">
        <v>67</v>
      </c>
      <c r="D340" s="36"/>
      <c r="E340" s="44"/>
      <c r="F340" s="44"/>
      <c r="G340" s="44"/>
      <c r="H340" s="43"/>
      <c r="I340" s="255"/>
    </row>
    <row r="341" spans="1:9" s="9" customFormat="1" ht="30" customHeight="1">
      <c r="A341" s="51" t="s">
        <v>10</v>
      </c>
      <c r="B341" s="5">
        <v>14</v>
      </c>
      <c r="C341" s="5">
        <v>14</v>
      </c>
      <c r="D341" s="36"/>
      <c r="E341" s="95"/>
      <c r="F341" s="44"/>
      <c r="G341" s="44"/>
      <c r="H341" s="43"/>
      <c r="I341" s="254"/>
    </row>
    <row r="342" spans="1:9" s="9" customFormat="1" ht="30" customHeight="1">
      <c r="A342" s="53" t="s">
        <v>230</v>
      </c>
      <c r="B342" s="36">
        <v>11</v>
      </c>
      <c r="C342" s="36">
        <v>11</v>
      </c>
      <c r="D342" s="36"/>
      <c r="E342" s="41"/>
      <c r="F342" s="41"/>
      <c r="G342" s="41"/>
      <c r="H342" s="41"/>
      <c r="I342" s="255"/>
    </row>
    <row r="343" spans="1:9" s="9" customFormat="1" ht="30" customHeight="1">
      <c r="A343" s="58" t="s">
        <v>38</v>
      </c>
      <c r="B343" s="89">
        <f>B342*460/1000</f>
        <v>5.06</v>
      </c>
      <c r="C343" s="89">
        <f>C342*460/1000</f>
        <v>5.06</v>
      </c>
      <c r="D343" s="36"/>
      <c r="E343" s="95"/>
      <c r="F343" s="95"/>
      <c r="G343" s="95"/>
      <c r="H343" s="95"/>
      <c r="I343" s="254"/>
    </row>
    <row r="344" spans="1:9" s="9" customFormat="1" ht="30" customHeight="1">
      <c r="A344" s="58" t="s">
        <v>39</v>
      </c>
      <c r="B344" s="89">
        <f>B342*120/1000</f>
        <v>1.32</v>
      </c>
      <c r="C344" s="89">
        <f>C342*120/1000</f>
        <v>1.32</v>
      </c>
      <c r="D344" s="36"/>
      <c r="E344" s="95"/>
      <c r="F344" s="95"/>
      <c r="G344" s="95"/>
      <c r="H344" s="95"/>
      <c r="I344" s="254"/>
    </row>
    <row r="345" spans="1:9" s="9" customFormat="1" ht="30" customHeight="1">
      <c r="A345" s="181" t="s">
        <v>149</v>
      </c>
      <c r="B345" s="182">
        <f>B342-B343</f>
        <v>5.94</v>
      </c>
      <c r="C345" s="182">
        <f>C342-C343</f>
        <v>5.94</v>
      </c>
      <c r="D345" s="36"/>
      <c r="E345" s="95"/>
      <c r="F345" s="95"/>
      <c r="G345" s="95"/>
      <c r="H345" s="95"/>
      <c r="I345" s="254"/>
    </row>
    <row r="346" spans="1:9" s="9" customFormat="1" ht="30" customHeight="1">
      <c r="A346" s="181" t="s">
        <v>150</v>
      </c>
      <c r="B346" s="182">
        <f>B342-B344</f>
        <v>9.68</v>
      </c>
      <c r="C346" s="182">
        <f>C342-C344</f>
        <v>9.68</v>
      </c>
      <c r="D346" s="36"/>
      <c r="E346" s="95"/>
      <c r="F346" s="95"/>
      <c r="G346" s="95"/>
      <c r="H346" s="95"/>
      <c r="I346" s="254"/>
    </row>
    <row r="347" spans="1:9" s="9" customFormat="1" ht="30" customHeight="1">
      <c r="A347" s="53" t="s">
        <v>18</v>
      </c>
      <c r="B347" s="37">
        <f>C347*1.19</f>
        <v>8.33</v>
      </c>
      <c r="C347" s="36">
        <v>7</v>
      </c>
      <c r="D347" s="36"/>
      <c r="E347" s="95"/>
      <c r="F347" s="44"/>
      <c r="G347" s="44"/>
      <c r="H347" s="274"/>
      <c r="I347" s="254"/>
    </row>
    <row r="348" spans="1:9" s="9" customFormat="1" ht="30" customHeight="1">
      <c r="A348" s="53" t="s">
        <v>84</v>
      </c>
      <c r="B348" s="225">
        <v>3.5</v>
      </c>
      <c r="C348" s="225">
        <v>3.5</v>
      </c>
      <c r="D348" s="36"/>
      <c r="E348" s="95"/>
      <c r="F348" s="95"/>
      <c r="G348" s="95"/>
      <c r="H348" s="248"/>
      <c r="I348" s="254"/>
    </row>
    <row r="349" spans="1:9" s="9" customFormat="1" ht="30" customHeight="1">
      <c r="A349" s="53" t="s">
        <v>165</v>
      </c>
      <c r="B349" s="225">
        <v>7</v>
      </c>
      <c r="C349" s="225">
        <v>7</v>
      </c>
      <c r="D349" s="36"/>
      <c r="E349" s="95"/>
      <c r="F349" s="95"/>
      <c r="G349" s="95"/>
      <c r="H349" s="248"/>
      <c r="I349" s="254"/>
    </row>
    <row r="350" spans="1:11" s="9" customFormat="1" ht="30" customHeight="1">
      <c r="A350" s="51" t="s">
        <v>11</v>
      </c>
      <c r="B350" s="5">
        <v>2</v>
      </c>
      <c r="C350" s="5">
        <v>2</v>
      </c>
      <c r="D350" s="36"/>
      <c r="E350" s="95"/>
      <c r="F350" s="44"/>
      <c r="G350" s="44"/>
      <c r="H350" s="43"/>
      <c r="I350" s="254"/>
      <c r="K350" s="313"/>
    </row>
    <row r="351" spans="1:11" s="9" customFormat="1" ht="30" customHeight="1">
      <c r="A351" s="51" t="s">
        <v>37</v>
      </c>
      <c r="B351" s="5">
        <v>5</v>
      </c>
      <c r="C351" s="5">
        <v>5</v>
      </c>
      <c r="D351" s="178"/>
      <c r="E351" s="95"/>
      <c r="F351" s="95"/>
      <c r="G351" s="95"/>
      <c r="H351" s="276"/>
      <c r="I351" s="254"/>
      <c r="K351" s="313"/>
    </row>
    <row r="352" spans="1:11" s="9" customFormat="1" ht="30" customHeight="1">
      <c r="A352" s="479" t="s">
        <v>311</v>
      </c>
      <c r="B352" s="479"/>
      <c r="C352" s="479"/>
      <c r="D352" s="39">
        <v>150</v>
      </c>
      <c r="E352" s="83">
        <v>2.9</v>
      </c>
      <c r="F352" s="83">
        <v>5.8</v>
      </c>
      <c r="G352" s="83">
        <v>25.8</v>
      </c>
      <c r="H352" s="239">
        <f>G352*4+F352*9+E352*4</f>
        <v>167</v>
      </c>
      <c r="I352" s="135" t="s">
        <v>312</v>
      </c>
      <c r="K352" s="313"/>
    </row>
    <row r="353" spans="1:11" s="9" customFormat="1" ht="30" customHeight="1">
      <c r="A353" s="52" t="s">
        <v>12</v>
      </c>
      <c r="B353" s="24">
        <f>C353*1.33</f>
        <v>170.24</v>
      </c>
      <c r="C353" s="24">
        <v>128</v>
      </c>
      <c r="D353" s="25"/>
      <c r="E353" s="107"/>
      <c r="F353" s="107"/>
      <c r="G353" s="107"/>
      <c r="H353" s="397"/>
      <c r="I353" s="398"/>
      <c r="K353" s="313"/>
    </row>
    <row r="354" spans="1:11" s="9" customFormat="1" ht="30" customHeight="1">
      <c r="A354" s="52" t="s">
        <v>13</v>
      </c>
      <c r="B354" s="24">
        <f>C354*1.43</f>
        <v>183.04</v>
      </c>
      <c r="C354" s="24">
        <v>128</v>
      </c>
      <c r="D354" s="25"/>
      <c r="E354" s="107"/>
      <c r="F354" s="107"/>
      <c r="G354" s="107"/>
      <c r="H354" s="107"/>
      <c r="I354" s="398"/>
      <c r="K354" s="313"/>
    </row>
    <row r="355" spans="1:11" s="9" customFormat="1" ht="30" customHeight="1">
      <c r="A355" s="52" t="s">
        <v>14</v>
      </c>
      <c r="B355" s="24">
        <f>C355*1.54</f>
        <v>197.12</v>
      </c>
      <c r="C355" s="24">
        <v>128</v>
      </c>
      <c r="D355" s="25"/>
      <c r="E355" s="107"/>
      <c r="F355" s="83"/>
      <c r="G355" s="83"/>
      <c r="H355" s="77"/>
      <c r="I355" s="398"/>
      <c r="K355" s="313"/>
    </row>
    <row r="356" spans="1:11" s="9" customFormat="1" ht="30" customHeight="1">
      <c r="A356" s="52" t="s">
        <v>15</v>
      </c>
      <c r="B356" s="24">
        <f>C356*1.67</f>
        <v>213.76</v>
      </c>
      <c r="C356" s="24">
        <v>128</v>
      </c>
      <c r="D356" s="25"/>
      <c r="E356" s="107"/>
      <c r="F356" s="83"/>
      <c r="G356" s="83"/>
      <c r="H356" s="77"/>
      <c r="I356" s="398"/>
      <c r="K356" s="313"/>
    </row>
    <row r="357" spans="1:11" s="9" customFormat="1" ht="30" customHeight="1">
      <c r="A357" s="399" t="s">
        <v>60</v>
      </c>
      <c r="B357" s="22">
        <f>C357*1.25</f>
        <v>18.75</v>
      </c>
      <c r="C357" s="32">
        <v>15</v>
      </c>
      <c r="D357" s="25"/>
      <c r="E357" s="107"/>
      <c r="F357" s="107"/>
      <c r="G357" s="107"/>
      <c r="H357" s="91"/>
      <c r="I357" s="398"/>
      <c r="K357" s="313"/>
    </row>
    <row r="358" spans="1:11" s="9" customFormat="1" ht="30" customHeight="1">
      <c r="A358" s="399" t="s">
        <v>16</v>
      </c>
      <c r="B358" s="22">
        <f>C358*1.33</f>
        <v>19.950000000000003</v>
      </c>
      <c r="C358" s="32">
        <v>15</v>
      </c>
      <c r="D358" s="25"/>
      <c r="E358" s="107"/>
      <c r="F358" s="107"/>
      <c r="G358" s="107"/>
      <c r="H358" s="91"/>
      <c r="I358" s="398"/>
      <c r="K358" s="313"/>
    </row>
    <row r="359" spans="1:11" s="9" customFormat="1" ht="30" customHeight="1">
      <c r="A359" s="399" t="s">
        <v>18</v>
      </c>
      <c r="B359" s="24">
        <f>C359*1.19</f>
        <v>28.56</v>
      </c>
      <c r="C359" s="32">
        <v>24</v>
      </c>
      <c r="D359" s="25"/>
      <c r="E359" s="107"/>
      <c r="F359" s="107"/>
      <c r="G359" s="107"/>
      <c r="H359" s="91"/>
      <c r="I359" s="398"/>
      <c r="K359" s="313"/>
    </row>
    <row r="360" spans="1:11" s="9" customFormat="1" ht="30" customHeight="1">
      <c r="A360" s="400" t="s">
        <v>54</v>
      </c>
      <c r="B360" s="22">
        <v>9</v>
      </c>
      <c r="C360" s="32">
        <v>9</v>
      </c>
      <c r="D360" s="25"/>
      <c r="E360" s="107"/>
      <c r="F360" s="107"/>
      <c r="G360" s="107"/>
      <c r="H360" s="91"/>
      <c r="I360" s="398"/>
      <c r="J360" s="15"/>
      <c r="K360" s="313"/>
    </row>
    <row r="361" spans="1:11" s="9" customFormat="1" ht="30" customHeight="1">
      <c r="A361" s="399" t="s">
        <v>19</v>
      </c>
      <c r="B361" s="22">
        <v>8</v>
      </c>
      <c r="C361" s="22">
        <v>8</v>
      </c>
      <c r="D361" s="25"/>
      <c r="E361" s="107"/>
      <c r="F361" s="107"/>
      <c r="G361" s="107"/>
      <c r="H361" s="107"/>
      <c r="I361" s="398"/>
      <c r="J361" s="15"/>
      <c r="K361" s="313"/>
    </row>
    <row r="362" spans="1:11" s="9" customFormat="1" ht="30" customHeight="1">
      <c r="A362" s="476" t="s">
        <v>94</v>
      </c>
      <c r="B362" s="482"/>
      <c r="C362" s="482"/>
      <c r="D362" s="26">
        <v>150</v>
      </c>
      <c r="E362" s="45">
        <v>0.2</v>
      </c>
      <c r="F362" s="45">
        <v>0</v>
      </c>
      <c r="G362" s="45">
        <v>8.6</v>
      </c>
      <c r="H362" s="43">
        <f>E362*4+F362*9+G362*4</f>
        <v>35.199999999999996</v>
      </c>
      <c r="I362" s="256" t="s">
        <v>205</v>
      </c>
      <c r="J362" s="15"/>
      <c r="K362" s="313"/>
    </row>
    <row r="363" spans="1:11" s="9" customFormat="1" ht="30" customHeight="1">
      <c r="A363" s="481" t="s">
        <v>289</v>
      </c>
      <c r="B363" s="481"/>
      <c r="C363" s="481"/>
      <c r="D363" s="26">
        <v>200</v>
      </c>
      <c r="E363" s="45">
        <v>0.9</v>
      </c>
      <c r="F363" s="45">
        <v>0</v>
      </c>
      <c r="G363" s="45">
        <v>28.7</v>
      </c>
      <c r="H363" s="43">
        <f>E363*4+F363*9+G363*4</f>
        <v>118.39999999999999</v>
      </c>
      <c r="I363" s="243" t="s">
        <v>477</v>
      </c>
      <c r="J363" s="15"/>
      <c r="K363" s="313"/>
    </row>
    <row r="364" spans="1:11" s="9" customFormat="1" ht="30" customHeight="1">
      <c r="A364" s="53" t="s">
        <v>121</v>
      </c>
      <c r="B364" s="36">
        <v>25</v>
      </c>
      <c r="C364" s="36">
        <v>25</v>
      </c>
      <c r="D364" s="36"/>
      <c r="E364" s="95"/>
      <c r="F364" s="95"/>
      <c r="G364" s="95"/>
      <c r="H364" s="95"/>
      <c r="I364" s="254"/>
      <c r="J364" s="15"/>
      <c r="K364" s="313"/>
    </row>
    <row r="365" spans="1:11" s="9" customFormat="1" ht="30" customHeight="1">
      <c r="A365" s="53" t="s">
        <v>4</v>
      </c>
      <c r="B365" s="36">
        <v>15</v>
      </c>
      <c r="C365" s="36">
        <v>15</v>
      </c>
      <c r="D365" s="36"/>
      <c r="E365" s="233"/>
      <c r="F365" s="233"/>
      <c r="G365" s="233"/>
      <c r="H365" s="249"/>
      <c r="I365" s="254"/>
      <c r="J365" s="15"/>
      <c r="K365" s="313"/>
    </row>
    <row r="366" spans="1:11" s="9" customFormat="1" ht="30" customHeight="1">
      <c r="A366" s="330" t="s">
        <v>20</v>
      </c>
      <c r="B366" s="25">
        <v>20</v>
      </c>
      <c r="C366" s="25">
        <v>20</v>
      </c>
      <c r="D366" s="39">
        <v>20</v>
      </c>
      <c r="E366" s="342">
        <v>0.9</v>
      </c>
      <c r="F366" s="342">
        <v>0.2</v>
      </c>
      <c r="G366" s="342">
        <v>8.7</v>
      </c>
      <c r="H366" s="343">
        <v>41</v>
      </c>
      <c r="I366" s="254"/>
      <c r="J366" s="15"/>
      <c r="K366" s="313"/>
    </row>
    <row r="367" spans="1:10" ht="30" customHeight="1">
      <c r="A367" s="483" t="s">
        <v>74</v>
      </c>
      <c r="B367" s="483"/>
      <c r="C367" s="483"/>
      <c r="D367" s="274">
        <v>20</v>
      </c>
      <c r="E367" s="233"/>
      <c r="F367" s="233"/>
      <c r="G367" s="233"/>
      <c r="H367" s="249"/>
      <c r="I367" s="254"/>
      <c r="J367" s="15"/>
    </row>
    <row r="368" spans="1:11" s="9" customFormat="1" ht="30" customHeight="1">
      <c r="A368" s="472" t="s">
        <v>57</v>
      </c>
      <c r="B368" s="472"/>
      <c r="C368" s="472"/>
      <c r="D368" s="244">
        <f>D369+275+95+D403+D407</f>
        <v>780</v>
      </c>
      <c r="E368" s="99">
        <f>E369+E377+E391+E403+E407+E415+E417</f>
        <v>25.899999999999995</v>
      </c>
      <c r="F368" s="99">
        <f>F369+F377+F391+F403+F407+F415+F417</f>
        <v>31.1</v>
      </c>
      <c r="G368" s="99">
        <f>G369+G377+G391+G403+G407+G415+G417</f>
        <v>105.8</v>
      </c>
      <c r="H368" s="99">
        <f>H369+H377+H391+H403+H407+H415+H417</f>
        <v>805.3</v>
      </c>
      <c r="I368" s="254"/>
      <c r="J368" s="15"/>
      <c r="K368" s="313"/>
    </row>
    <row r="369" spans="1:11" s="9" customFormat="1" ht="30" customHeight="1">
      <c r="A369" s="476" t="s">
        <v>469</v>
      </c>
      <c r="B369" s="482"/>
      <c r="C369" s="482"/>
      <c r="D369" s="23">
        <v>60</v>
      </c>
      <c r="E369" s="109">
        <v>1.6</v>
      </c>
      <c r="F369" s="109">
        <v>4.1</v>
      </c>
      <c r="G369" s="109">
        <v>3.7</v>
      </c>
      <c r="H369" s="43">
        <v>59</v>
      </c>
      <c r="I369" s="221" t="s">
        <v>390</v>
      </c>
      <c r="J369" s="15"/>
      <c r="K369" s="313"/>
    </row>
    <row r="370" spans="1:11" s="9" customFormat="1" ht="30" customHeight="1">
      <c r="A370" s="56" t="s">
        <v>160</v>
      </c>
      <c r="B370" s="37">
        <f>C370*1.43</f>
        <v>28.599999999999998</v>
      </c>
      <c r="C370" s="37">
        <v>20</v>
      </c>
      <c r="D370" s="36"/>
      <c r="E370" s="36"/>
      <c r="F370" s="36"/>
      <c r="G370" s="152"/>
      <c r="H370" s="152"/>
      <c r="I370" s="254"/>
      <c r="J370" s="15"/>
      <c r="K370" s="313"/>
    </row>
    <row r="371" spans="1:11" s="9" customFormat="1" ht="30" customHeight="1">
      <c r="A371" s="51" t="s">
        <v>17</v>
      </c>
      <c r="B371" s="37">
        <f>C371*1.25</f>
        <v>42.5</v>
      </c>
      <c r="C371" s="37">
        <v>34</v>
      </c>
      <c r="D371" s="36"/>
      <c r="E371" s="36"/>
      <c r="F371" s="36"/>
      <c r="G371" s="152"/>
      <c r="H371" s="152"/>
      <c r="I371" s="254"/>
      <c r="J371" s="15"/>
      <c r="K371" s="313"/>
    </row>
    <row r="372" spans="1:11" s="9" customFormat="1" ht="30" customHeight="1">
      <c r="A372" s="53" t="s">
        <v>16</v>
      </c>
      <c r="B372" s="37">
        <f>C372*1.33</f>
        <v>45.22</v>
      </c>
      <c r="C372" s="37">
        <v>34</v>
      </c>
      <c r="D372" s="36"/>
      <c r="E372" s="36"/>
      <c r="F372" s="36"/>
      <c r="G372" s="36"/>
      <c r="H372" s="36"/>
      <c r="I372" s="254"/>
      <c r="J372" s="15"/>
      <c r="K372" s="313"/>
    </row>
    <row r="373" spans="1:11" s="9" customFormat="1" ht="30" customHeight="1">
      <c r="A373" s="121" t="s">
        <v>164</v>
      </c>
      <c r="B373" s="37"/>
      <c r="C373" s="37">
        <v>32</v>
      </c>
      <c r="D373" s="36"/>
      <c r="E373" s="36"/>
      <c r="F373" s="37"/>
      <c r="G373" s="36"/>
      <c r="H373" s="36"/>
      <c r="I373" s="254"/>
      <c r="J373" s="15"/>
      <c r="K373" s="313"/>
    </row>
    <row r="374" spans="1:11" s="9" customFormat="1" ht="30" customHeight="1">
      <c r="A374" s="53" t="s">
        <v>96</v>
      </c>
      <c r="B374" s="37">
        <v>8</v>
      </c>
      <c r="C374" s="37">
        <v>6</v>
      </c>
      <c r="D374" s="36"/>
      <c r="E374" s="36"/>
      <c r="F374" s="36"/>
      <c r="G374" s="36"/>
      <c r="H374" s="36"/>
      <c r="I374" s="254"/>
      <c r="J374" s="15"/>
      <c r="K374" s="313"/>
    </row>
    <row r="375" spans="1:11" s="9" customFormat="1" ht="30" customHeight="1">
      <c r="A375" s="53" t="s">
        <v>116</v>
      </c>
      <c r="B375" s="41">
        <f>C375*1.28</f>
        <v>0.64</v>
      </c>
      <c r="C375" s="41">
        <v>0.5</v>
      </c>
      <c r="D375" s="36"/>
      <c r="E375" s="36"/>
      <c r="F375" s="36"/>
      <c r="G375" s="36"/>
      <c r="H375" s="36"/>
      <c r="I375" s="254"/>
      <c r="J375" s="15"/>
      <c r="K375" s="313"/>
    </row>
    <row r="376" spans="1:11" s="9" customFormat="1" ht="30" customHeight="1">
      <c r="A376" s="53" t="s">
        <v>11</v>
      </c>
      <c r="B376" s="37">
        <v>3</v>
      </c>
      <c r="C376" s="37">
        <v>3</v>
      </c>
      <c r="D376" s="36"/>
      <c r="E376" s="36"/>
      <c r="F376" s="36"/>
      <c r="G376" s="152"/>
      <c r="H376" s="152"/>
      <c r="I376" s="254"/>
      <c r="J376" s="15"/>
      <c r="K376" s="313"/>
    </row>
    <row r="377" spans="1:11" s="9" customFormat="1" ht="30" customHeight="1">
      <c r="A377" s="497" t="s">
        <v>470</v>
      </c>
      <c r="B377" s="497"/>
      <c r="C377" s="497"/>
      <c r="D377" s="21" t="s">
        <v>460</v>
      </c>
      <c r="E377" s="44">
        <v>4.5</v>
      </c>
      <c r="F377" s="44">
        <v>8.9</v>
      </c>
      <c r="G377" s="44">
        <v>12.5</v>
      </c>
      <c r="H377" s="43">
        <f>E377*4+F377*9+G377*4</f>
        <v>148.10000000000002</v>
      </c>
      <c r="I377" s="226" t="s">
        <v>471</v>
      </c>
      <c r="J377" s="15"/>
      <c r="K377" s="313"/>
    </row>
    <row r="378" spans="1:11" s="9" customFormat="1" ht="30" customHeight="1">
      <c r="A378" s="86" t="s">
        <v>86</v>
      </c>
      <c r="B378" s="48">
        <f>C378*1.36</f>
        <v>43.52</v>
      </c>
      <c r="C378" s="35">
        <v>32</v>
      </c>
      <c r="D378" s="5"/>
      <c r="E378" s="95"/>
      <c r="F378" s="95"/>
      <c r="G378" s="95"/>
      <c r="H378" s="276"/>
      <c r="I378" s="254"/>
      <c r="J378" s="15"/>
      <c r="K378" s="313"/>
    </row>
    <row r="379" spans="1:11" ht="30" customHeight="1">
      <c r="A379" s="86" t="s">
        <v>87</v>
      </c>
      <c r="B379" s="48">
        <f>C379*1.18</f>
        <v>37.76</v>
      </c>
      <c r="C379" s="35">
        <v>32</v>
      </c>
      <c r="D379" s="5"/>
      <c r="E379" s="95"/>
      <c r="F379" s="95"/>
      <c r="G379" s="95"/>
      <c r="H379" s="276"/>
      <c r="I379" s="254"/>
      <c r="J379" s="15"/>
      <c r="K379" s="317"/>
    </row>
    <row r="380" spans="1:11" ht="30" customHeight="1">
      <c r="A380" s="51" t="s">
        <v>12</v>
      </c>
      <c r="B380" s="35">
        <f>C380*1.33</f>
        <v>50.540000000000006</v>
      </c>
      <c r="C380" s="37">
        <v>38</v>
      </c>
      <c r="D380" s="5"/>
      <c r="E380" s="95"/>
      <c r="F380" s="95"/>
      <c r="G380" s="95"/>
      <c r="H380" s="276"/>
      <c r="I380" s="254"/>
      <c r="J380" s="15"/>
      <c r="K380" s="317"/>
    </row>
    <row r="381" spans="1:11" ht="30" customHeight="1">
      <c r="A381" s="51" t="s">
        <v>13</v>
      </c>
      <c r="B381" s="35">
        <f>C381*1.43</f>
        <v>54.339999999999996</v>
      </c>
      <c r="C381" s="37">
        <v>38</v>
      </c>
      <c r="D381" s="5"/>
      <c r="E381" s="95"/>
      <c r="F381" s="95"/>
      <c r="G381" s="95"/>
      <c r="H381" s="276"/>
      <c r="I381" s="254"/>
      <c r="J381" s="15"/>
      <c r="K381" s="317"/>
    </row>
    <row r="382" spans="1:11" ht="30" customHeight="1">
      <c r="A382" s="53" t="s">
        <v>14</v>
      </c>
      <c r="B382" s="35">
        <f>C382*1.54</f>
        <v>58.52</v>
      </c>
      <c r="C382" s="37">
        <v>38</v>
      </c>
      <c r="D382" s="5"/>
      <c r="E382" s="95"/>
      <c r="F382" s="95"/>
      <c r="G382" s="95"/>
      <c r="H382" s="276"/>
      <c r="I382" s="254"/>
      <c r="J382" s="15"/>
      <c r="K382" s="317"/>
    </row>
    <row r="383" spans="1:11" ht="30" customHeight="1">
      <c r="A383" s="53" t="s">
        <v>15</v>
      </c>
      <c r="B383" s="35">
        <f>C383*1.67</f>
        <v>63.459999999999994</v>
      </c>
      <c r="C383" s="37">
        <v>38</v>
      </c>
      <c r="D383" s="5"/>
      <c r="E383" s="95"/>
      <c r="F383" s="95"/>
      <c r="G383" s="95"/>
      <c r="H383" s="276"/>
      <c r="I383" s="254"/>
      <c r="J383" s="15"/>
      <c r="K383" s="317"/>
    </row>
    <row r="384" spans="1:11" ht="30" customHeight="1">
      <c r="A384" s="51" t="s">
        <v>392</v>
      </c>
      <c r="B384" s="35">
        <f>C384*1.82</f>
        <v>27.3</v>
      </c>
      <c r="C384" s="5">
        <v>15</v>
      </c>
      <c r="D384" s="5"/>
      <c r="E384" s="95"/>
      <c r="F384" s="95"/>
      <c r="G384" s="95"/>
      <c r="H384" s="276"/>
      <c r="I384" s="254"/>
      <c r="J384" s="15"/>
      <c r="K384" s="317"/>
    </row>
    <row r="385" spans="1:12" s="9" customFormat="1" ht="30" customHeight="1">
      <c r="A385" s="51" t="s">
        <v>18</v>
      </c>
      <c r="B385" s="37">
        <f>C385*1.19</f>
        <v>21.419999999999998</v>
      </c>
      <c r="C385" s="5">
        <v>18</v>
      </c>
      <c r="D385" s="237"/>
      <c r="E385" s="85"/>
      <c r="F385" s="85"/>
      <c r="G385" s="85"/>
      <c r="H385" s="240"/>
      <c r="I385" s="254"/>
      <c r="J385" s="15"/>
      <c r="K385" s="317"/>
      <c r="L385" s="61"/>
    </row>
    <row r="386" spans="1:12" s="9" customFormat="1" ht="30" customHeight="1">
      <c r="A386" s="51" t="s">
        <v>19</v>
      </c>
      <c r="B386" s="35">
        <v>5</v>
      </c>
      <c r="C386" s="35">
        <v>5</v>
      </c>
      <c r="D386" s="237"/>
      <c r="E386" s="85"/>
      <c r="F386" s="85"/>
      <c r="G386" s="85"/>
      <c r="H386" s="240"/>
      <c r="I386" s="254"/>
      <c r="J386" s="15"/>
      <c r="K386" s="317"/>
      <c r="L386" s="61"/>
    </row>
    <row r="387" spans="1:11" s="9" customFormat="1" ht="30" customHeight="1">
      <c r="A387" s="53" t="s">
        <v>393</v>
      </c>
      <c r="B387" s="35">
        <f>1.54*C387</f>
        <v>15.4</v>
      </c>
      <c r="C387" s="35">
        <v>10</v>
      </c>
      <c r="D387" s="74"/>
      <c r="E387" s="95"/>
      <c r="F387" s="95"/>
      <c r="G387" s="94"/>
      <c r="H387" s="237"/>
      <c r="I387" s="254"/>
      <c r="K387" s="313"/>
    </row>
    <row r="388" spans="1:11" s="9" customFormat="1" ht="30" customHeight="1">
      <c r="A388" s="56" t="s">
        <v>54</v>
      </c>
      <c r="B388" s="35">
        <v>3</v>
      </c>
      <c r="C388" s="35">
        <v>3</v>
      </c>
      <c r="D388" s="74"/>
      <c r="E388" s="95"/>
      <c r="F388" s="95"/>
      <c r="G388" s="94"/>
      <c r="H388" s="237"/>
      <c r="I388" s="261"/>
      <c r="K388" s="313"/>
    </row>
    <row r="389" spans="1:11" s="9" customFormat="1" ht="30" customHeight="1">
      <c r="A389" s="57" t="s">
        <v>56</v>
      </c>
      <c r="B389" s="35">
        <v>5</v>
      </c>
      <c r="C389" s="35">
        <v>5</v>
      </c>
      <c r="D389" s="74"/>
      <c r="E389" s="95"/>
      <c r="F389" s="95"/>
      <c r="G389" s="94"/>
      <c r="H389" s="237"/>
      <c r="I389" s="261"/>
      <c r="K389" s="313"/>
    </row>
    <row r="390" spans="1:11" ht="30" customHeight="1">
      <c r="A390" s="53" t="s">
        <v>72</v>
      </c>
      <c r="B390" s="40">
        <v>0.2</v>
      </c>
      <c r="C390" s="40">
        <v>0.2</v>
      </c>
      <c r="D390" s="228"/>
      <c r="E390" s="85"/>
      <c r="F390" s="85"/>
      <c r="G390" s="85"/>
      <c r="H390" s="240"/>
      <c r="I390" s="254"/>
      <c r="J390" s="9"/>
      <c r="K390" s="313"/>
    </row>
    <row r="391" spans="1:12" s="2" customFormat="1" ht="30" customHeight="1">
      <c r="A391" s="476" t="s">
        <v>459</v>
      </c>
      <c r="B391" s="476"/>
      <c r="C391" s="476"/>
      <c r="D391" s="23" t="s">
        <v>229</v>
      </c>
      <c r="E391" s="109">
        <v>11.8</v>
      </c>
      <c r="F391" s="109">
        <v>12.5</v>
      </c>
      <c r="G391" s="109">
        <v>9.1</v>
      </c>
      <c r="H391" s="238">
        <f>E391*4+F391*9+G391*4</f>
        <v>196.1</v>
      </c>
      <c r="I391" s="232" t="s">
        <v>455</v>
      </c>
      <c r="J391" s="9"/>
      <c r="K391" s="313"/>
      <c r="L391" s="61"/>
    </row>
    <row r="392" spans="1:12" s="2" customFormat="1" ht="30" customHeight="1">
      <c r="A392" s="86" t="s">
        <v>418</v>
      </c>
      <c r="B392" s="48">
        <f>C392*1.17</f>
        <v>39.78</v>
      </c>
      <c r="C392" s="87">
        <v>34</v>
      </c>
      <c r="D392" s="23"/>
      <c r="E392" s="109"/>
      <c r="F392" s="109"/>
      <c r="G392" s="109"/>
      <c r="H392" s="238"/>
      <c r="I392" s="232"/>
      <c r="J392" s="9"/>
      <c r="K392" s="313"/>
      <c r="L392" s="61"/>
    </row>
    <row r="393" spans="1:12" s="2" customFormat="1" ht="30" customHeight="1">
      <c r="A393" s="112" t="s">
        <v>86</v>
      </c>
      <c r="B393" s="48">
        <f>C393*1.36</f>
        <v>46.24</v>
      </c>
      <c r="C393" s="87">
        <v>34</v>
      </c>
      <c r="D393" s="23"/>
      <c r="E393" s="41"/>
      <c r="F393" s="41"/>
      <c r="G393" s="41"/>
      <c r="H393" s="37"/>
      <c r="I393" s="41"/>
      <c r="J393" s="9"/>
      <c r="K393" s="313"/>
      <c r="L393" s="61"/>
    </row>
    <row r="394" spans="1:12" s="2" customFormat="1" ht="30" customHeight="1">
      <c r="A394" s="86" t="s">
        <v>87</v>
      </c>
      <c r="B394" s="48">
        <f>C394*1.18</f>
        <v>40.12</v>
      </c>
      <c r="C394" s="276">
        <v>34</v>
      </c>
      <c r="D394" s="23"/>
      <c r="E394" s="41"/>
      <c r="F394" s="41"/>
      <c r="G394" s="41"/>
      <c r="H394" s="37"/>
      <c r="I394" s="270"/>
      <c r="J394" s="9"/>
      <c r="K394" s="313"/>
      <c r="L394" s="61"/>
    </row>
    <row r="395" spans="1:12" s="2" customFormat="1" ht="30" customHeight="1">
      <c r="A395" s="460" t="s">
        <v>10</v>
      </c>
      <c r="B395" s="276">
        <v>16</v>
      </c>
      <c r="C395" s="276">
        <v>16</v>
      </c>
      <c r="D395" s="23"/>
      <c r="E395" s="41"/>
      <c r="F395" s="41"/>
      <c r="G395" s="41"/>
      <c r="H395" s="37"/>
      <c r="I395" s="270"/>
      <c r="J395" s="9"/>
      <c r="K395" s="313"/>
      <c r="L395" s="61"/>
    </row>
    <row r="396" spans="1:12" s="2" customFormat="1" ht="30" customHeight="1">
      <c r="A396" s="426" t="s">
        <v>456</v>
      </c>
      <c r="B396" s="276">
        <v>11</v>
      </c>
      <c r="C396" s="276">
        <v>11</v>
      </c>
      <c r="D396" s="23"/>
      <c r="E396" s="41"/>
      <c r="F396" s="41"/>
      <c r="G396" s="41"/>
      <c r="H396" s="37"/>
      <c r="I396" s="270"/>
      <c r="J396" s="9"/>
      <c r="K396" s="313"/>
      <c r="L396" s="61"/>
    </row>
    <row r="397" spans="1:12" s="2" customFormat="1" ht="30" customHeight="1">
      <c r="A397" s="461" t="s">
        <v>18</v>
      </c>
      <c r="B397" s="107">
        <f>C397*1.19</f>
        <v>8.33</v>
      </c>
      <c r="C397" s="462">
        <v>7</v>
      </c>
      <c r="D397" s="23"/>
      <c r="E397" s="41"/>
      <c r="F397" s="41"/>
      <c r="G397" s="41"/>
      <c r="H397" s="37"/>
      <c r="I397" s="270"/>
      <c r="J397" s="9"/>
      <c r="K397" s="313"/>
      <c r="L397" s="61"/>
    </row>
    <row r="398" spans="1:12" s="2" customFormat="1" ht="30" customHeight="1">
      <c r="A398" s="426" t="s">
        <v>84</v>
      </c>
      <c r="B398" s="95">
        <v>3.5</v>
      </c>
      <c r="C398" s="95">
        <v>3.5</v>
      </c>
      <c r="D398" s="23"/>
      <c r="E398" s="41"/>
      <c r="F398" s="41"/>
      <c r="G398" s="41"/>
      <c r="H398" s="37"/>
      <c r="I398" s="270"/>
      <c r="J398" s="9"/>
      <c r="K398" s="313"/>
      <c r="L398" s="61"/>
    </row>
    <row r="399" spans="1:12" s="2" customFormat="1" ht="30" customHeight="1">
      <c r="A399" s="426" t="s">
        <v>116</v>
      </c>
      <c r="B399" s="95">
        <f>C399*1.28</f>
        <v>1.024</v>
      </c>
      <c r="C399" s="95">
        <v>0.8</v>
      </c>
      <c r="D399" s="23"/>
      <c r="E399" s="41"/>
      <c r="F399" s="41"/>
      <c r="G399" s="41"/>
      <c r="H399" s="37"/>
      <c r="I399" s="270"/>
      <c r="J399" s="9"/>
      <c r="K399" s="313"/>
      <c r="L399" s="61"/>
    </row>
    <row r="400" spans="1:12" s="2" customFormat="1" ht="30" customHeight="1">
      <c r="A400" s="57" t="s">
        <v>165</v>
      </c>
      <c r="B400" s="225">
        <v>9</v>
      </c>
      <c r="C400" s="225">
        <v>9</v>
      </c>
      <c r="D400" s="23"/>
      <c r="E400" s="41"/>
      <c r="F400" s="41"/>
      <c r="G400" s="41"/>
      <c r="H400" s="37"/>
      <c r="I400" s="41"/>
      <c r="J400" s="9"/>
      <c r="K400" s="313"/>
      <c r="L400" s="61"/>
    </row>
    <row r="401" spans="1:12" s="2" customFormat="1" ht="30" customHeight="1">
      <c r="A401" s="461" t="s">
        <v>11</v>
      </c>
      <c r="B401" s="463">
        <v>2</v>
      </c>
      <c r="C401" s="462">
        <v>2</v>
      </c>
      <c r="D401" s="23"/>
      <c r="E401" s="41"/>
      <c r="F401" s="41"/>
      <c r="G401" s="41"/>
      <c r="H401" s="37"/>
      <c r="I401" s="270"/>
      <c r="J401" s="9"/>
      <c r="K401" s="313"/>
      <c r="L401" s="61"/>
    </row>
    <row r="402" spans="1:12" s="2" customFormat="1" ht="30" customHeight="1">
      <c r="A402" s="51" t="s">
        <v>37</v>
      </c>
      <c r="B402" s="5">
        <v>5</v>
      </c>
      <c r="C402" s="5">
        <v>5</v>
      </c>
      <c r="D402" s="276"/>
      <c r="E402" s="95"/>
      <c r="F402" s="95"/>
      <c r="G402" s="95"/>
      <c r="H402" s="87"/>
      <c r="I402" s="44"/>
      <c r="J402" s="9"/>
      <c r="K402" s="313"/>
      <c r="L402" s="61"/>
    </row>
    <row r="403" spans="1:11" s="9" customFormat="1" ht="30" customHeight="1">
      <c r="A403" s="479" t="s">
        <v>255</v>
      </c>
      <c r="B403" s="482"/>
      <c r="C403" s="482"/>
      <c r="D403" s="39">
        <v>150</v>
      </c>
      <c r="E403" s="44">
        <v>4.7</v>
      </c>
      <c r="F403" s="44">
        <v>4.8</v>
      </c>
      <c r="G403" s="44">
        <v>20.6</v>
      </c>
      <c r="H403" s="43">
        <f>E403*4+F403*9+G403*4</f>
        <v>144.4</v>
      </c>
      <c r="I403" s="231" t="s">
        <v>256</v>
      </c>
      <c r="K403" s="313"/>
    </row>
    <row r="404" spans="1:11" s="9" customFormat="1" ht="30" customHeight="1">
      <c r="A404" s="53" t="s">
        <v>78</v>
      </c>
      <c r="B404" s="37">
        <v>38</v>
      </c>
      <c r="C404" s="37">
        <v>38</v>
      </c>
      <c r="D404" s="36"/>
      <c r="E404" s="95"/>
      <c r="F404" s="95"/>
      <c r="G404" s="95"/>
      <c r="H404" s="276"/>
      <c r="I404" s="255"/>
      <c r="K404" s="313"/>
    </row>
    <row r="405" spans="1:11" s="9" customFormat="1" ht="30" customHeight="1">
      <c r="A405" s="52" t="s">
        <v>62</v>
      </c>
      <c r="B405" s="37">
        <v>121</v>
      </c>
      <c r="C405" s="37">
        <v>121</v>
      </c>
      <c r="D405" s="36"/>
      <c r="E405" s="95"/>
      <c r="F405" s="95"/>
      <c r="G405" s="95"/>
      <c r="H405" s="95"/>
      <c r="I405" s="255"/>
      <c r="K405" s="313"/>
    </row>
    <row r="406" spans="1:11" s="9" customFormat="1" ht="30" customHeight="1">
      <c r="A406" s="52" t="s">
        <v>19</v>
      </c>
      <c r="B406" s="24">
        <v>5</v>
      </c>
      <c r="C406" s="24">
        <v>5</v>
      </c>
      <c r="D406" s="36"/>
      <c r="E406" s="95"/>
      <c r="F406" s="95"/>
      <c r="G406" s="95"/>
      <c r="H406" s="276"/>
      <c r="I406" s="255"/>
      <c r="K406" s="313"/>
    </row>
    <row r="407" spans="1:9" ht="30" customHeight="1">
      <c r="A407" s="332" t="s">
        <v>218</v>
      </c>
      <c r="B407" s="23">
        <v>200</v>
      </c>
      <c r="C407" s="23">
        <v>200</v>
      </c>
      <c r="D407" s="23">
        <v>200</v>
      </c>
      <c r="E407" s="109">
        <v>0.5</v>
      </c>
      <c r="F407" s="109">
        <v>0.1</v>
      </c>
      <c r="G407" s="109">
        <v>28</v>
      </c>
      <c r="H407" s="238">
        <f>G407*4+F407*9+E407*4</f>
        <v>114.9</v>
      </c>
      <c r="I407" s="243" t="s">
        <v>219</v>
      </c>
    </row>
    <row r="408" spans="1:8" ht="30" customHeight="1">
      <c r="A408" s="473" t="s">
        <v>69</v>
      </c>
      <c r="B408" s="473"/>
      <c r="C408" s="473"/>
      <c r="D408" s="473"/>
      <c r="E408" s="473"/>
      <c r="F408" s="473"/>
      <c r="G408" s="473"/>
      <c r="H408" s="473"/>
    </row>
    <row r="409" spans="1:11" s="9" customFormat="1" ht="30" customHeight="1">
      <c r="A409" s="476" t="s">
        <v>324</v>
      </c>
      <c r="B409" s="482"/>
      <c r="C409" s="482"/>
      <c r="D409" s="23">
        <v>200</v>
      </c>
      <c r="E409" s="44">
        <v>0.2</v>
      </c>
      <c r="F409" s="44">
        <v>0</v>
      </c>
      <c r="G409" s="44">
        <v>28.2</v>
      </c>
      <c r="H409" s="43">
        <f>G409*4+F409*9+E409*4</f>
        <v>113.6</v>
      </c>
      <c r="I409" s="256" t="s">
        <v>217</v>
      </c>
      <c r="K409" s="313"/>
    </row>
    <row r="410" spans="1:12" ht="30" customHeight="1">
      <c r="A410" s="56" t="s">
        <v>159</v>
      </c>
      <c r="B410" s="25">
        <f>C410*1.14</f>
        <v>34.199999999999996</v>
      </c>
      <c r="C410" s="25">
        <v>30</v>
      </c>
      <c r="D410" s="23"/>
      <c r="E410" s="44"/>
      <c r="F410" s="44"/>
      <c r="G410" s="44"/>
      <c r="H410" s="274"/>
      <c r="I410" s="253"/>
      <c r="J410" s="9"/>
      <c r="K410" s="313"/>
      <c r="L410" s="9"/>
    </row>
    <row r="411" spans="1:11" s="9" customFormat="1" ht="30" customHeight="1">
      <c r="A411" s="52" t="s">
        <v>167</v>
      </c>
      <c r="B411" s="177">
        <f>C411*1.06</f>
        <v>10.600000000000001</v>
      </c>
      <c r="C411" s="50">
        <v>10</v>
      </c>
      <c r="D411" s="23"/>
      <c r="E411" s="144"/>
      <c r="F411" s="144"/>
      <c r="G411" s="144"/>
      <c r="H411" s="247"/>
      <c r="I411" s="253"/>
      <c r="K411" s="313"/>
    </row>
    <row r="412" spans="1:11" s="9" customFormat="1" ht="30" customHeight="1">
      <c r="A412" s="52" t="s">
        <v>351</v>
      </c>
      <c r="B412" s="177">
        <f>C412*1.06</f>
        <v>10.600000000000001</v>
      </c>
      <c r="C412" s="50">
        <v>10</v>
      </c>
      <c r="D412" s="23"/>
      <c r="E412" s="144"/>
      <c r="F412" s="144"/>
      <c r="G412" s="144"/>
      <c r="H412" s="247"/>
      <c r="I412" s="253"/>
      <c r="K412" s="313"/>
    </row>
    <row r="413" spans="1:11" s="9" customFormat="1" ht="30" customHeight="1">
      <c r="A413" s="52" t="s">
        <v>352</v>
      </c>
      <c r="B413" s="177">
        <f>C413*1.11</f>
        <v>11.100000000000001</v>
      </c>
      <c r="C413" s="50">
        <v>10</v>
      </c>
      <c r="D413" s="23"/>
      <c r="E413" s="144"/>
      <c r="F413" s="144"/>
      <c r="G413" s="144"/>
      <c r="H413" s="247"/>
      <c r="I413" s="253"/>
      <c r="J413" s="15"/>
      <c r="K413" s="317"/>
    </row>
    <row r="414" spans="1:11" s="9" customFormat="1" ht="30" customHeight="1">
      <c r="A414" s="53" t="s">
        <v>4</v>
      </c>
      <c r="B414" s="25">
        <v>20</v>
      </c>
      <c r="C414" s="25">
        <v>20</v>
      </c>
      <c r="D414" s="23"/>
      <c r="E414" s="44"/>
      <c r="F414" s="44"/>
      <c r="G414" s="44"/>
      <c r="H414" s="274"/>
      <c r="I414" s="257"/>
      <c r="J414" s="15"/>
      <c r="K414" s="317"/>
    </row>
    <row r="415" spans="1:11" ht="30" customHeight="1">
      <c r="A415" s="330" t="s">
        <v>20</v>
      </c>
      <c r="B415" s="25">
        <v>30</v>
      </c>
      <c r="C415" s="25">
        <v>30</v>
      </c>
      <c r="D415" s="39">
        <v>30</v>
      </c>
      <c r="E415" s="342">
        <v>1.4</v>
      </c>
      <c r="F415" s="342">
        <v>0.3</v>
      </c>
      <c r="G415" s="342">
        <v>13.1</v>
      </c>
      <c r="H415" s="343">
        <v>60.8</v>
      </c>
      <c r="I415" s="232"/>
      <c r="J415" s="70"/>
      <c r="K415" s="339"/>
    </row>
    <row r="416" spans="1:12" s="9" customFormat="1" ht="30" customHeight="1">
      <c r="A416" s="483" t="s">
        <v>74</v>
      </c>
      <c r="B416" s="483"/>
      <c r="C416" s="483"/>
      <c r="D416" s="274">
        <v>30</v>
      </c>
      <c r="E416" s="44"/>
      <c r="F416" s="44"/>
      <c r="G416" s="44"/>
      <c r="H416" s="44"/>
      <c r="I416" s="254"/>
      <c r="J416" s="15"/>
      <c r="K416" s="317"/>
      <c r="L416" s="61"/>
    </row>
    <row r="417" spans="1:11" ht="30" customHeight="1">
      <c r="A417" s="203" t="s">
        <v>26</v>
      </c>
      <c r="B417" s="36">
        <v>40</v>
      </c>
      <c r="C417" s="36">
        <v>40</v>
      </c>
      <c r="D417" s="23">
        <v>40</v>
      </c>
      <c r="E417" s="109">
        <v>1.4</v>
      </c>
      <c r="F417" s="109">
        <v>0.4</v>
      </c>
      <c r="G417" s="109">
        <v>18.8</v>
      </c>
      <c r="H417" s="238">
        <v>82</v>
      </c>
      <c r="J417" s="70"/>
      <c r="K417" s="339"/>
    </row>
    <row r="418" spans="1:12" s="9" customFormat="1" ht="30" customHeight="1">
      <c r="A418" s="472" t="s">
        <v>24</v>
      </c>
      <c r="B418" s="472"/>
      <c r="C418" s="472"/>
      <c r="D418" s="472"/>
      <c r="E418" s="99">
        <f>E368+E302</f>
        <v>42.99999999999999</v>
      </c>
      <c r="F418" s="99">
        <f>F368+F302</f>
        <v>50.3</v>
      </c>
      <c r="G418" s="99">
        <f>G368+G302</f>
        <v>183</v>
      </c>
      <c r="H418" s="96">
        <f>H368+H302</f>
        <v>1356.1</v>
      </c>
      <c r="I418" s="254"/>
      <c r="J418" s="15"/>
      <c r="K418" s="317"/>
      <c r="L418" s="61"/>
    </row>
    <row r="419" spans="1:9" ht="30" customHeight="1">
      <c r="A419" s="478" t="s">
        <v>44</v>
      </c>
      <c r="B419" s="478"/>
      <c r="C419" s="478"/>
      <c r="D419" s="478"/>
      <c r="E419" s="478"/>
      <c r="F419" s="478"/>
      <c r="G419" s="478"/>
      <c r="H419" s="478"/>
      <c r="I419" s="478"/>
    </row>
    <row r="420" spans="1:9" ht="30" customHeight="1">
      <c r="A420" s="470" t="s">
        <v>0</v>
      </c>
      <c r="B420" s="471" t="s">
        <v>6</v>
      </c>
      <c r="C420" s="471" t="s">
        <v>7</v>
      </c>
      <c r="D420" s="470" t="s">
        <v>5</v>
      </c>
      <c r="E420" s="470"/>
      <c r="F420" s="470"/>
      <c r="G420" s="470"/>
      <c r="H420" s="470"/>
      <c r="I420" s="470"/>
    </row>
    <row r="421" spans="1:11" s="9" customFormat="1" ht="30" customHeight="1">
      <c r="A421" s="470"/>
      <c r="B421" s="471"/>
      <c r="C421" s="471"/>
      <c r="D421" s="135" t="s">
        <v>8</v>
      </c>
      <c r="E421" s="281" t="s">
        <v>1</v>
      </c>
      <c r="F421" s="281" t="s">
        <v>2</v>
      </c>
      <c r="G421" s="281" t="s">
        <v>9</v>
      </c>
      <c r="H421" s="280" t="s">
        <v>3</v>
      </c>
      <c r="I421" s="282" t="s">
        <v>190</v>
      </c>
      <c r="K421" s="313"/>
    </row>
    <row r="422" spans="1:11" s="9" customFormat="1" ht="30" customHeight="1">
      <c r="A422" s="485" t="s">
        <v>105</v>
      </c>
      <c r="B422" s="485"/>
      <c r="C422" s="485"/>
      <c r="D422" s="245">
        <f>D423+D430+D433+D437</f>
        <v>510</v>
      </c>
      <c r="E422" s="99">
        <f>E433+E423+E430+E440+E437</f>
        <v>16.5</v>
      </c>
      <c r="F422" s="99">
        <f>F433+F423+F430+F440+F437</f>
        <v>16.099999999999998</v>
      </c>
      <c r="G422" s="99">
        <f>G433+G423+G430+G440+G437</f>
        <v>66.4</v>
      </c>
      <c r="H422" s="99">
        <f>H433+H423+H430+H440+H437</f>
        <v>480.2</v>
      </c>
      <c r="I422" s="254"/>
      <c r="K422" s="313"/>
    </row>
    <row r="423" spans="1:12" ht="30" customHeight="1">
      <c r="A423" s="483" t="s">
        <v>213</v>
      </c>
      <c r="B423" s="483"/>
      <c r="C423" s="483"/>
      <c r="D423" s="23">
        <v>100</v>
      </c>
      <c r="E423" s="44">
        <v>10.4</v>
      </c>
      <c r="F423" s="44">
        <v>9.2</v>
      </c>
      <c r="G423" s="44">
        <v>4</v>
      </c>
      <c r="H423" s="43">
        <f>E423*4+F423*9+G423*4</f>
        <v>140.4</v>
      </c>
      <c r="I423" s="256" t="s">
        <v>214</v>
      </c>
      <c r="K423" s="314" t="s">
        <v>44</v>
      </c>
      <c r="L423" s="9"/>
    </row>
    <row r="424" spans="1:12" ht="30" customHeight="1">
      <c r="A424" s="86" t="s">
        <v>86</v>
      </c>
      <c r="B424" s="48">
        <f>C424*1.36</f>
        <v>107.44000000000001</v>
      </c>
      <c r="C424" s="37">
        <v>79</v>
      </c>
      <c r="D424" s="36"/>
      <c r="E424" s="95"/>
      <c r="F424" s="95"/>
      <c r="G424" s="95"/>
      <c r="H424" s="276"/>
      <c r="I424" s="254"/>
      <c r="K424" s="301" t="s">
        <v>26</v>
      </c>
      <c r="L424" s="9">
        <f>D506+C440</f>
        <v>50</v>
      </c>
    </row>
    <row r="425" spans="1:12" ht="30" customHeight="1">
      <c r="A425" s="86" t="s">
        <v>87</v>
      </c>
      <c r="B425" s="48">
        <f>C425*1.18</f>
        <v>93.22</v>
      </c>
      <c r="C425" s="35">
        <f>C424</f>
        <v>79</v>
      </c>
      <c r="D425" s="228"/>
      <c r="E425" s="85"/>
      <c r="F425" s="85"/>
      <c r="G425" s="85"/>
      <c r="H425" s="240"/>
      <c r="I425" s="254"/>
      <c r="K425" s="301" t="s">
        <v>126</v>
      </c>
      <c r="L425" s="17">
        <f>C464+D504+C473</f>
        <v>95</v>
      </c>
    </row>
    <row r="426" spans="1:12" ht="30" customHeight="1">
      <c r="A426" s="53" t="s">
        <v>11</v>
      </c>
      <c r="B426" s="37">
        <v>5</v>
      </c>
      <c r="C426" s="37">
        <v>4.5</v>
      </c>
      <c r="D426" s="36"/>
      <c r="E426" s="95"/>
      <c r="F426" s="95"/>
      <c r="G426" s="95"/>
      <c r="H426" s="276"/>
      <c r="I426" s="254"/>
      <c r="K426" s="301" t="s">
        <v>155</v>
      </c>
      <c r="L426" s="17">
        <f>C429+C476</f>
        <v>8.5</v>
      </c>
    </row>
    <row r="427" spans="1:12" ht="30" customHeight="1">
      <c r="A427" s="53" t="s">
        <v>18</v>
      </c>
      <c r="B427" s="37">
        <f>C427*1.19</f>
        <v>11.899999999999999</v>
      </c>
      <c r="C427" s="36">
        <v>10</v>
      </c>
      <c r="D427" s="36"/>
      <c r="E427" s="95"/>
      <c r="F427" s="95"/>
      <c r="G427" s="95"/>
      <c r="H427" s="276"/>
      <c r="I427" s="254"/>
      <c r="K427" s="301" t="s">
        <v>66</v>
      </c>
      <c r="L427" s="17">
        <f>C459</f>
        <v>16.666666666666668</v>
      </c>
    </row>
    <row r="428" spans="1:12" ht="30" customHeight="1">
      <c r="A428" s="57" t="s">
        <v>54</v>
      </c>
      <c r="B428" s="36">
        <v>4</v>
      </c>
      <c r="C428" s="36">
        <v>4</v>
      </c>
      <c r="D428" s="36"/>
      <c r="E428" s="95"/>
      <c r="F428" s="95"/>
      <c r="G428" s="95"/>
      <c r="H428" s="276"/>
      <c r="I428" s="254"/>
      <c r="K428" s="301" t="s">
        <v>65</v>
      </c>
      <c r="L428" s="17">
        <f>C431</f>
        <v>65</v>
      </c>
    </row>
    <row r="429" spans="1:12" ht="30" customHeight="1">
      <c r="A429" s="53" t="s">
        <v>21</v>
      </c>
      <c r="B429" s="36">
        <v>2.5</v>
      </c>
      <c r="C429" s="36">
        <v>2.5</v>
      </c>
      <c r="D429" s="36"/>
      <c r="E429" s="95"/>
      <c r="F429" s="44"/>
      <c r="G429" s="44"/>
      <c r="H429" s="274"/>
      <c r="I429" s="254"/>
      <c r="K429" s="301" t="s">
        <v>27</v>
      </c>
      <c r="L429" s="17">
        <f>C493+C455</f>
        <v>212</v>
      </c>
    </row>
    <row r="430" spans="1:12" s="9" customFormat="1" ht="30" customHeight="1">
      <c r="A430" s="476" t="s">
        <v>215</v>
      </c>
      <c r="B430" s="476"/>
      <c r="C430" s="476"/>
      <c r="D430" s="39">
        <v>180</v>
      </c>
      <c r="E430" s="92">
        <v>4.9</v>
      </c>
      <c r="F430" s="92">
        <v>6.6</v>
      </c>
      <c r="G430" s="92">
        <v>39.9</v>
      </c>
      <c r="H430" s="239">
        <f>G430*4+F430*9+E430*4</f>
        <v>238.6</v>
      </c>
      <c r="I430" s="256" t="s">
        <v>216</v>
      </c>
      <c r="K430" s="301" t="s">
        <v>201</v>
      </c>
      <c r="L430" s="17">
        <f>C460+C461+C443+C444+C427+C428+C498+C434</f>
        <v>141</v>
      </c>
    </row>
    <row r="431" spans="1:12" s="9" customFormat="1" ht="30" customHeight="1">
      <c r="A431" s="52" t="s">
        <v>447</v>
      </c>
      <c r="B431" s="24">
        <v>65</v>
      </c>
      <c r="C431" s="24">
        <v>65</v>
      </c>
      <c r="D431" s="25"/>
      <c r="E431" s="91"/>
      <c r="F431" s="91"/>
      <c r="G431" s="107"/>
      <c r="H431" s="91"/>
      <c r="I431" s="255"/>
      <c r="K431" s="301" t="s">
        <v>28</v>
      </c>
      <c r="L431" s="17">
        <f>C502</f>
        <v>25</v>
      </c>
    </row>
    <row r="432" spans="1:12" s="9" customFormat="1" ht="30" customHeight="1">
      <c r="A432" s="52" t="s">
        <v>19</v>
      </c>
      <c r="B432" s="25">
        <v>6</v>
      </c>
      <c r="C432" s="25">
        <v>6</v>
      </c>
      <c r="D432" s="25"/>
      <c r="E432" s="91"/>
      <c r="F432" s="91"/>
      <c r="G432" s="91"/>
      <c r="H432" s="91"/>
      <c r="I432" s="254"/>
      <c r="K432" s="301" t="s">
        <v>170</v>
      </c>
      <c r="L432" s="61"/>
    </row>
    <row r="433" spans="1:12" ht="30" customHeight="1">
      <c r="A433" s="476" t="s">
        <v>363</v>
      </c>
      <c r="B433" s="476"/>
      <c r="C433" s="476"/>
      <c r="D433" s="23">
        <v>30</v>
      </c>
      <c r="E433" s="109">
        <v>0.3</v>
      </c>
      <c r="F433" s="109">
        <v>0.1</v>
      </c>
      <c r="G433" s="109">
        <v>1.2</v>
      </c>
      <c r="H433" s="238">
        <f>E433*4+F433*9+G433*4</f>
        <v>6.9</v>
      </c>
      <c r="I433" s="353" t="s">
        <v>223</v>
      </c>
      <c r="K433" s="301" t="s">
        <v>202</v>
      </c>
      <c r="L433" s="335">
        <f>C503+C439</f>
        <v>27</v>
      </c>
    </row>
    <row r="434" spans="1:11" ht="30" customHeight="1">
      <c r="A434" s="56" t="s">
        <v>98</v>
      </c>
      <c r="B434" s="37">
        <f>C434*1.02</f>
        <v>30.6</v>
      </c>
      <c r="C434" s="60">
        <v>30</v>
      </c>
      <c r="D434" s="224"/>
      <c r="E434" s="109"/>
      <c r="F434" s="109"/>
      <c r="G434" s="109"/>
      <c r="H434" s="23"/>
      <c r="I434" s="267"/>
      <c r="K434" s="301" t="s">
        <v>357</v>
      </c>
    </row>
    <row r="435" spans="1:11" s="9" customFormat="1" ht="30" customHeight="1">
      <c r="A435" s="53" t="s">
        <v>99</v>
      </c>
      <c r="B435" s="37">
        <f>C435*1.18</f>
        <v>35.4</v>
      </c>
      <c r="C435" s="60">
        <v>30</v>
      </c>
      <c r="D435" s="224"/>
      <c r="E435" s="44"/>
      <c r="F435" s="44"/>
      <c r="G435" s="44"/>
      <c r="H435" s="44"/>
      <c r="I435" s="267"/>
      <c r="K435" s="315" t="s">
        <v>29</v>
      </c>
    </row>
    <row r="436" spans="1:11" s="9" customFormat="1" ht="30" customHeight="1">
      <c r="A436" s="56" t="s">
        <v>111</v>
      </c>
      <c r="B436" s="90">
        <f>C436*1.82</f>
        <v>54.6</v>
      </c>
      <c r="C436" s="60">
        <v>30</v>
      </c>
      <c r="D436" s="224"/>
      <c r="E436" s="44"/>
      <c r="F436" s="44"/>
      <c r="G436" s="44"/>
      <c r="H436" s="44"/>
      <c r="I436" s="267"/>
      <c r="K436" s="301" t="s">
        <v>70</v>
      </c>
    </row>
    <row r="437" spans="1:11" s="9" customFormat="1" ht="30" customHeight="1">
      <c r="A437" s="469" t="s">
        <v>225</v>
      </c>
      <c r="B437" s="469"/>
      <c r="C437" s="469"/>
      <c r="D437" s="21">
        <v>200</v>
      </c>
      <c r="E437" s="21">
        <v>0.2</v>
      </c>
      <c r="F437" s="110">
        <v>0</v>
      </c>
      <c r="G437" s="21">
        <v>11.9</v>
      </c>
      <c r="H437" s="21">
        <v>53</v>
      </c>
      <c r="I437" s="256" t="s">
        <v>226</v>
      </c>
      <c r="K437" s="301" t="s">
        <v>182</v>
      </c>
    </row>
    <row r="438" spans="1:11" s="9" customFormat="1" ht="30" customHeight="1">
      <c r="A438" s="51" t="s">
        <v>110</v>
      </c>
      <c r="B438" s="5">
        <v>1</v>
      </c>
      <c r="C438" s="5">
        <v>1</v>
      </c>
      <c r="D438" s="5"/>
      <c r="E438" s="5"/>
      <c r="F438" s="5"/>
      <c r="G438" s="5"/>
      <c r="H438" s="5"/>
      <c r="I438" s="255"/>
      <c r="K438" s="301" t="s">
        <v>183</v>
      </c>
    </row>
    <row r="439" spans="1:12" s="9" customFormat="1" ht="30" customHeight="1">
      <c r="A439" s="51" t="s">
        <v>4</v>
      </c>
      <c r="B439" s="5">
        <v>12</v>
      </c>
      <c r="C439" s="5">
        <v>12</v>
      </c>
      <c r="D439" s="5"/>
      <c r="E439" s="5"/>
      <c r="F439" s="5"/>
      <c r="G439" s="43"/>
      <c r="H439" s="274"/>
      <c r="I439" s="255"/>
      <c r="K439" s="316" t="s">
        <v>30</v>
      </c>
      <c r="L439" s="9">
        <f>C438</f>
        <v>1</v>
      </c>
    </row>
    <row r="440" spans="1:12" ht="30" customHeight="1">
      <c r="A440" s="203" t="s">
        <v>26</v>
      </c>
      <c r="B440" s="36">
        <v>20</v>
      </c>
      <c r="C440" s="36">
        <v>20</v>
      </c>
      <c r="D440" s="23">
        <v>20</v>
      </c>
      <c r="E440" s="109">
        <v>0.7</v>
      </c>
      <c r="F440" s="109">
        <v>0.2</v>
      </c>
      <c r="G440" s="109">
        <v>9.4</v>
      </c>
      <c r="H440" s="238">
        <v>41.3</v>
      </c>
      <c r="K440" s="301" t="s">
        <v>172</v>
      </c>
      <c r="L440" s="62">
        <f>C453+C424</f>
        <v>95</v>
      </c>
    </row>
    <row r="441" spans="1:12" s="9" customFormat="1" ht="30" customHeight="1">
      <c r="A441" s="472" t="s">
        <v>57</v>
      </c>
      <c r="B441" s="472"/>
      <c r="C441" s="472"/>
      <c r="D441" s="244">
        <f>D442+280+D466+D492+D501</f>
        <v>780</v>
      </c>
      <c r="E441" s="99">
        <f>E442+E452+E466+E492+E501+E504+E506</f>
        <v>25.005333333333333</v>
      </c>
      <c r="F441" s="99">
        <f>F442+F452+F466+F492+F501+F504+F506</f>
        <v>23.900000000000002</v>
      </c>
      <c r="G441" s="99">
        <f>G442+G452+G466+G492+G501+G504+G506</f>
        <v>120.07333333333332</v>
      </c>
      <c r="H441" s="96">
        <f>H442+H452+H466+H492+H501+H504+H506</f>
        <v>793.5813333333334</v>
      </c>
      <c r="I441" s="254"/>
      <c r="K441" s="301" t="s">
        <v>174</v>
      </c>
      <c r="L441" s="17">
        <f>C467</f>
        <v>72</v>
      </c>
    </row>
    <row r="442" spans="1:12" ht="30" customHeight="1">
      <c r="A442" s="495" t="s">
        <v>294</v>
      </c>
      <c r="B442" s="482"/>
      <c r="C442" s="482"/>
      <c r="D442" s="42">
        <v>60</v>
      </c>
      <c r="E442" s="142">
        <v>0.072</v>
      </c>
      <c r="F442" s="142">
        <v>3</v>
      </c>
      <c r="G442" s="142">
        <v>1.44</v>
      </c>
      <c r="H442" s="250">
        <f>G442*4+F442*9+E442*4</f>
        <v>33.047999999999995</v>
      </c>
      <c r="I442" s="256" t="s">
        <v>295</v>
      </c>
      <c r="K442" s="301" t="s">
        <v>173</v>
      </c>
      <c r="L442" s="17"/>
    </row>
    <row r="443" spans="1:12" s="9" customFormat="1" ht="30" customHeight="1">
      <c r="A443" s="51" t="s">
        <v>108</v>
      </c>
      <c r="B443" s="90">
        <f>C443*1.82</f>
        <v>89.18</v>
      </c>
      <c r="C443" s="139">
        <v>49</v>
      </c>
      <c r="D443" s="42"/>
      <c r="E443" s="137"/>
      <c r="F443" s="137"/>
      <c r="G443" s="137"/>
      <c r="H443" s="137"/>
      <c r="I443" s="254"/>
      <c r="K443" s="301" t="s">
        <v>175</v>
      </c>
      <c r="L443" s="17"/>
    </row>
    <row r="444" spans="1:12" s="9" customFormat="1" ht="30" customHeight="1">
      <c r="A444" s="51" t="s">
        <v>18</v>
      </c>
      <c r="B444" s="141">
        <f>C444*1.19</f>
        <v>10.709999999999999</v>
      </c>
      <c r="C444" s="139">
        <v>9</v>
      </c>
      <c r="D444" s="42"/>
      <c r="E444" s="137"/>
      <c r="F444" s="137"/>
      <c r="G444" s="137"/>
      <c r="H444" s="137"/>
      <c r="I444" s="254"/>
      <c r="K444" s="305" t="s">
        <v>80</v>
      </c>
      <c r="L444" s="9">
        <f>C468</f>
        <v>14</v>
      </c>
    </row>
    <row r="445" spans="1:11" s="9" customFormat="1" ht="30" customHeight="1">
      <c r="A445" s="484" t="s">
        <v>361</v>
      </c>
      <c r="B445" s="484"/>
      <c r="C445" s="484"/>
      <c r="D445" s="42"/>
      <c r="E445" s="137"/>
      <c r="F445" s="137"/>
      <c r="G445" s="137"/>
      <c r="H445" s="137"/>
      <c r="I445" s="254"/>
      <c r="K445" s="307" t="s">
        <v>176</v>
      </c>
    </row>
    <row r="446" spans="1:11" ht="30" customHeight="1">
      <c r="A446" s="51" t="s">
        <v>11</v>
      </c>
      <c r="B446" s="139">
        <v>3</v>
      </c>
      <c r="C446" s="139">
        <v>3</v>
      </c>
      <c r="D446" s="42"/>
      <c r="E446" s="137"/>
      <c r="F446" s="137"/>
      <c r="G446" s="137"/>
      <c r="H446" s="137"/>
      <c r="I446" s="254"/>
      <c r="J446" s="9"/>
      <c r="K446" s="301" t="s">
        <v>177</v>
      </c>
    </row>
    <row r="447" spans="1:11" ht="30" customHeight="1">
      <c r="A447" s="480" t="s">
        <v>69</v>
      </c>
      <c r="B447" s="480"/>
      <c r="C447" s="480"/>
      <c r="D447" s="480"/>
      <c r="E447" s="480"/>
      <c r="F447" s="480"/>
      <c r="G447" s="480"/>
      <c r="H447" s="480"/>
      <c r="J447" s="9"/>
      <c r="K447" s="301" t="s">
        <v>31</v>
      </c>
    </row>
    <row r="448" spans="1:12" ht="30" customHeight="1">
      <c r="A448" s="476" t="s">
        <v>395</v>
      </c>
      <c r="B448" s="476"/>
      <c r="C448" s="476"/>
      <c r="D448" s="23">
        <v>60</v>
      </c>
      <c r="E448" s="109">
        <v>0.4</v>
      </c>
      <c r="F448" s="109">
        <v>3</v>
      </c>
      <c r="G448" s="109">
        <v>1.3</v>
      </c>
      <c r="H448" s="238">
        <f>G448*4+F448*9+E448*4</f>
        <v>33.800000000000004</v>
      </c>
      <c r="I448" s="243" t="s">
        <v>345</v>
      </c>
      <c r="K448" s="301" t="s">
        <v>178</v>
      </c>
      <c r="L448" s="61">
        <f>C475</f>
        <v>4</v>
      </c>
    </row>
    <row r="449" spans="1:12" ht="30" customHeight="1">
      <c r="A449" s="56" t="s">
        <v>346</v>
      </c>
      <c r="B449" s="37">
        <f>C449*1.05</f>
        <v>60.900000000000006</v>
      </c>
      <c r="C449" s="36">
        <v>58</v>
      </c>
      <c r="D449" s="36"/>
      <c r="E449" s="36"/>
      <c r="F449" s="36"/>
      <c r="G449" s="36"/>
      <c r="H449" s="36"/>
      <c r="I449" s="263"/>
      <c r="K449" s="301" t="s">
        <v>32</v>
      </c>
      <c r="L449" s="62">
        <f>C463+C499+C432</f>
        <v>16</v>
      </c>
    </row>
    <row r="450" spans="1:12" ht="30" customHeight="1">
      <c r="A450" s="56" t="s">
        <v>112</v>
      </c>
      <c r="B450" s="37">
        <f>C450*1.02</f>
        <v>59.160000000000004</v>
      </c>
      <c r="C450" s="37">
        <v>58</v>
      </c>
      <c r="D450" s="351"/>
      <c r="E450" s="351"/>
      <c r="F450" s="351"/>
      <c r="G450" s="351"/>
      <c r="H450" s="351"/>
      <c r="I450" s="263"/>
      <c r="K450" s="301" t="s">
        <v>33</v>
      </c>
      <c r="L450" s="62">
        <f>C446+C426+C477</f>
        <v>10.5</v>
      </c>
    </row>
    <row r="451" spans="1:12" ht="30" customHeight="1">
      <c r="A451" s="56" t="s">
        <v>119</v>
      </c>
      <c r="B451" s="36">
        <v>3</v>
      </c>
      <c r="C451" s="36">
        <v>3</v>
      </c>
      <c r="D451" s="36"/>
      <c r="E451" s="41"/>
      <c r="F451" s="41"/>
      <c r="G451" s="41"/>
      <c r="H451" s="36"/>
      <c r="I451" s="263"/>
      <c r="K451" s="301" t="s">
        <v>179</v>
      </c>
      <c r="L451" s="62">
        <f>C474</f>
        <v>4</v>
      </c>
    </row>
    <row r="452" spans="1:11" s="9" customFormat="1" ht="30" customHeight="1">
      <c r="A452" s="503" t="s">
        <v>296</v>
      </c>
      <c r="B452" s="503"/>
      <c r="C452" s="251"/>
      <c r="D452" s="21" t="s">
        <v>67</v>
      </c>
      <c r="E452" s="274">
        <v>9.1</v>
      </c>
      <c r="F452" s="274">
        <v>4.8</v>
      </c>
      <c r="G452" s="274">
        <v>30.2</v>
      </c>
      <c r="H452" s="43">
        <f>G452*4+F452*9+E452*4</f>
        <v>200.4</v>
      </c>
      <c r="I452" s="256" t="s">
        <v>297</v>
      </c>
      <c r="K452" s="301" t="s">
        <v>334</v>
      </c>
    </row>
    <row r="453" spans="1:12" s="9" customFormat="1" ht="30" customHeight="1">
      <c r="A453" s="86" t="s">
        <v>86</v>
      </c>
      <c r="B453" s="48">
        <f>C453*1.36</f>
        <v>21.76</v>
      </c>
      <c r="C453" s="5">
        <v>16</v>
      </c>
      <c r="D453" s="31"/>
      <c r="E453" s="85"/>
      <c r="F453" s="85"/>
      <c r="G453" s="85"/>
      <c r="H453" s="240"/>
      <c r="I453" s="254"/>
      <c r="K453" s="301" t="s">
        <v>181</v>
      </c>
      <c r="L453" s="15">
        <v>1.5</v>
      </c>
    </row>
    <row r="454" spans="1:12" s="9" customFormat="1" ht="30" customHeight="1">
      <c r="A454" s="86" t="s">
        <v>87</v>
      </c>
      <c r="B454" s="48">
        <f>C454*1.18</f>
        <v>18.88</v>
      </c>
      <c r="C454" s="35">
        <f>C453</f>
        <v>16</v>
      </c>
      <c r="D454" s="31"/>
      <c r="E454" s="85"/>
      <c r="F454" s="85"/>
      <c r="G454" s="85"/>
      <c r="H454" s="240"/>
      <c r="I454" s="255"/>
      <c r="K454" s="301" t="s">
        <v>180</v>
      </c>
      <c r="L454" s="15">
        <v>1</v>
      </c>
    </row>
    <row r="455" spans="1:11" s="9" customFormat="1" ht="30" customHeight="1">
      <c r="A455" s="51" t="s">
        <v>12</v>
      </c>
      <c r="B455" s="35">
        <f>C455*1.33</f>
        <v>82.46000000000001</v>
      </c>
      <c r="C455" s="35">
        <v>62</v>
      </c>
      <c r="D455" s="31"/>
      <c r="E455" s="85"/>
      <c r="F455" s="85"/>
      <c r="G455" s="85"/>
      <c r="H455" s="240"/>
      <c r="I455" s="254"/>
      <c r="K455" s="313"/>
    </row>
    <row r="456" spans="1:11" s="9" customFormat="1" ht="30" customHeight="1">
      <c r="A456" s="51" t="s">
        <v>13</v>
      </c>
      <c r="B456" s="35">
        <f>C456*1.43</f>
        <v>88.66</v>
      </c>
      <c r="C456" s="35">
        <v>62</v>
      </c>
      <c r="D456" s="31"/>
      <c r="E456" s="85"/>
      <c r="F456" s="85"/>
      <c r="G456" s="85"/>
      <c r="H456" s="240"/>
      <c r="I456" s="254"/>
      <c r="K456" s="313"/>
    </row>
    <row r="457" spans="1:11" s="9" customFormat="1" ht="30" customHeight="1">
      <c r="A457" s="53" t="s">
        <v>14</v>
      </c>
      <c r="B457" s="35">
        <f>C457*1.54</f>
        <v>95.48</v>
      </c>
      <c r="C457" s="35">
        <v>62</v>
      </c>
      <c r="D457" s="31"/>
      <c r="E457" s="85"/>
      <c r="F457" s="85"/>
      <c r="G457" s="85"/>
      <c r="H457" s="240"/>
      <c r="I457" s="254"/>
      <c r="K457" s="313"/>
    </row>
    <row r="458" spans="1:11" s="9" customFormat="1" ht="30" customHeight="1">
      <c r="A458" s="53" t="s">
        <v>15</v>
      </c>
      <c r="B458" s="35">
        <f>C458*1.67</f>
        <v>103.53999999999999</v>
      </c>
      <c r="C458" s="35">
        <v>62</v>
      </c>
      <c r="D458" s="31"/>
      <c r="E458" s="85"/>
      <c r="F458" s="85"/>
      <c r="G458" s="85"/>
      <c r="H458" s="240"/>
      <c r="I458" s="254"/>
      <c r="K458" s="313"/>
    </row>
    <row r="459" spans="1:12" s="9" customFormat="1" ht="30" customHeight="1">
      <c r="A459" s="51" t="s">
        <v>59</v>
      </c>
      <c r="B459" s="5">
        <v>17.2</v>
      </c>
      <c r="C459" s="35">
        <v>16.666666666666668</v>
      </c>
      <c r="D459" s="31"/>
      <c r="E459" s="85"/>
      <c r="F459" s="85"/>
      <c r="G459" s="85"/>
      <c r="H459" s="240"/>
      <c r="I459" s="254"/>
      <c r="K459" s="313"/>
      <c r="L459" s="15"/>
    </row>
    <row r="460" spans="1:11" s="9" customFormat="1" ht="30" customHeight="1">
      <c r="A460" s="51" t="s">
        <v>18</v>
      </c>
      <c r="B460" s="41">
        <f>C460*1.19</f>
        <v>15.469999999999999</v>
      </c>
      <c r="C460" s="35">
        <v>13</v>
      </c>
      <c r="D460" s="31"/>
      <c r="E460" s="85"/>
      <c r="F460" s="85"/>
      <c r="G460" s="85"/>
      <c r="H460" s="240"/>
      <c r="I460" s="254"/>
      <c r="K460" s="313"/>
    </row>
    <row r="461" spans="1:11" s="9" customFormat="1" ht="30" customHeight="1">
      <c r="A461" s="51" t="s">
        <v>60</v>
      </c>
      <c r="B461" s="40">
        <f>C461*1.25</f>
        <v>12.5</v>
      </c>
      <c r="C461" s="35">
        <v>10</v>
      </c>
      <c r="D461" s="31"/>
      <c r="E461" s="85"/>
      <c r="F461" s="85"/>
      <c r="G461" s="85"/>
      <c r="H461" s="240"/>
      <c r="I461" s="254"/>
      <c r="K461" s="313"/>
    </row>
    <row r="462" spans="1:12" s="9" customFormat="1" ht="30" customHeight="1">
      <c r="A462" s="51" t="s">
        <v>16</v>
      </c>
      <c r="B462" s="40">
        <f>C462*1.33</f>
        <v>13.3</v>
      </c>
      <c r="C462" s="35">
        <v>10</v>
      </c>
      <c r="D462" s="31"/>
      <c r="E462" s="85"/>
      <c r="F462" s="85"/>
      <c r="G462" s="85"/>
      <c r="H462" s="240"/>
      <c r="I462" s="254"/>
      <c r="K462" s="313"/>
      <c r="L462" s="61"/>
    </row>
    <row r="463" spans="1:11" s="9" customFormat="1" ht="30" customHeight="1">
      <c r="A463" s="53" t="s">
        <v>19</v>
      </c>
      <c r="B463" s="35">
        <v>5</v>
      </c>
      <c r="C463" s="35">
        <v>5</v>
      </c>
      <c r="D463" s="31"/>
      <c r="E463" s="85"/>
      <c r="F463" s="85"/>
      <c r="G463" s="85"/>
      <c r="H463" s="240"/>
      <c r="I463" s="254"/>
      <c r="K463" s="313"/>
    </row>
    <row r="464" spans="1:11" s="9" customFormat="1" ht="30" customHeight="1">
      <c r="A464" s="53" t="s">
        <v>10</v>
      </c>
      <c r="B464" s="35">
        <v>37</v>
      </c>
      <c r="C464" s="35">
        <v>31</v>
      </c>
      <c r="D464" s="31"/>
      <c r="E464" s="85"/>
      <c r="F464" s="85"/>
      <c r="G464" s="85"/>
      <c r="H464" s="240"/>
      <c r="I464" s="254"/>
      <c r="K464" s="313"/>
    </row>
    <row r="465" spans="1:11" s="9" customFormat="1" ht="30" customHeight="1">
      <c r="A465" s="53" t="s">
        <v>72</v>
      </c>
      <c r="B465" s="40">
        <v>0.2</v>
      </c>
      <c r="C465" s="40">
        <v>0.2</v>
      </c>
      <c r="D465" s="31"/>
      <c r="E465" s="85"/>
      <c r="F465" s="85"/>
      <c r="G465" s="85"/>
      <c r="H465" s="240"/>
      <c r="I465" s="254"/>
      <c r="K465" s="313"/>
    </row>
    <row r="466" spans="1:11" s="9" customFormat="1" ht="30" customHeight="1">
      <c r="A466" s="483" t="s">
        <v>421</v>
      </c>
      <c r="B466" s="483"/>
      <c r="C466" s="483"/>
      <c r="D466" s="274" t="s">
        <v>422</v>
      </c>
      <c r="E466" s="44">
        <v>11.1</v>
      </c>
      <c r="F466" s="44">
        <v>10.2</v>
      </c>
      <c r="G466" s="44">
        <v>11.9</v>
      </c>
      <c r="H466" s="43">
        <f>(E466+G466)*4+F466*9</f>
        <v>183.8</v>
      </c>
      <c r="I466" s="256" t="s">
        <v>423</v>
      </c>
      <c r="K466" s="313"/>
    </row>
    <row r="467" spans="1:11" s="9" customFormat="1" ht="30" customHeight="1">
      <c r="A467" s="112" t="s">
        <v>424</v>
      </c>
      <c r="B467" s="27">
        <f>C467*1.054</f>
        <v>75.888</v>
      </c>
      <c r="C467" s="36">
        <v>72</v>
      </c>
      <c r="D467" s="36"/>
      <c r="E467" s="95"/>
      <c r="F467" s="95"/>
      <c r="G467" s="95"/>
      <c r="H467" s="87"/>
      <c r="I467" s="404"/>
      <c r="K467" s="313"/>
    </row>
    <row r="468" spans="1:13" s="9" customFormat="1" ht="30" customHeight="1">
      <c r="A468" s="53" t="s">
        <v>52</v>
      </c>
      <c r="B468" s="36">
        <v>14</v>
      </c>
      <c r="C468" s="36">
        <v>14</v>
      </c>
      <c r="D468" s="36"/>
      <c r="E468" s="109"/>
      <c r="F468" s="109"/>
      <c r="G468" s="109"/>
      <c r="H468" s="238"/>
      <c r="I468" s="405"/>
      <c r="J468" s="61"/>
      <c r="K468" s="312"/>
      <c r="L468" s="61"/>
      <c r="M468" s="61"/>
    </row>
    <row r="469" spans="1:11" s="9" customFormat="1" ht="30" customHeight="1">
      <c r="A469" s="58" t="s">
        <v>38</v>
      </c>
      <c r="B469" s="89">
        <f>B468*460/1000</f>
        <v>6.44</v>
      </c>
      <c r="C469" s="89">
        <f>C468*460/1000</f>
        <v>6.44</v>
      </c>
      <c r="D469" s="36"/>
      <c r="E469" s="44"/>
      <c r="F469" s="44"/>
      <c r="G469" s="44"/>
      <c r="H469" s="43"/>
      <c r="I469" s="405"/>
      <c r="K469" s="313"/>
    </row>
    <row r="470" spans="1:11" s="9" customFormat="1" ht="30" customHeight="1">
      <c r="A470" s="58" t="s">
        <v>39</v>
      </c>
      <c r="B470" s="89">
        <f>B468*120/1000</f>
        <v>1.68</v>
      </c>
      <c r="C470" s="89">
        <f>C468*120/1000</f>
        <v>1.68</v>
      </c>
      <c r="D470" s="36"/>
      <c r="E470" s="44"/>
      <c r="F470" s="44"/>
      <c r="G470" s="44"/>
      <c r="H470" s="43"/>
      <c r="I470" s="405"/>
      <c r="K470" s="313"/>
    </row>
    <row r="471" spans="1:11" s="9" customFormat="1" ht="30" customHeight="1">
      <c r="A471" s="181" t="s">
        <v>149</v>
      </c>
      <c r="B471" s="182">
        <f>B468-B469</f>
        <v>7.56</v>
      </c>
      <c r="C471" s="182">
        <f>C468-C469</f>
        <v>7.56</v>
      </c>
      <c r="D471" s="36"/>
      <c r="E471" s="44"/>
      <c r="F471" s="44"/>
      <c r="G471" s="44"/>
      <c r="H471" s="43"/>
      <c r="I471" s="405"/>
      <c r="K471" s="313"/>
    </row>
    <row r="472" spans="1:11" s="9" customFormat="1" ht="30" customHeight="1">
      <c r="A472" s="181" t="s">
        <v>150</v>
      </c>
      <c r="B472" s="182">
        <f>B468-B470</f>
        <v>12.32</v>
      </c>
      <c r="C472" s="182">
        <f>C468-C470</f>
        <v>12.32</v>
      </c>
      <c r="D472" s="36"/>
      <c r="E472" s="44"/>
      <c r="F472" s="44"/>
      <c r="G472" s="44"/>
      <c r="H472" s="43"/>
      <c r="I472" s="405"/>
      <c r="K472" s="313"/>
    </row>
    <row r="473" spans="1:11" s="9" customFormat="1" ht="30" customHeight="1">
      <c r="A473" s="53" t="s">
        <v>425</v>
      </c>
      <c r="B473" s="36">
        <v>14</v>
      </c>
      <c r="C473" s="36">
        <v>14</v>
      </c>
      <c r="D473" s="36"/>
      <c r="E473" s="41"/>
      <c r="F473" s="41"/>
      <c r="G473" s="41"/>
      <c r="H473" s="41"/>
      <c r="I473" s="405"/>
      <c r="K473" s="313"/>
    </row>
    <row r="474" spans="1:9" ht="30" customHeight="1">
      <c r="A474" s="53" t="s">
        <v>84</v>
      </c>
      <c r="B474" s="36">
        <v>4</v>
      </c>
      <c r="C474" s="36">
        <v>4</v>
      </c>
      <c r="D474" s="36"/>
      <c r="E474" s="41"/>
      <c r="F474" s="41"/>
      <c r="G474" s="41"/>
      <c r="H474" s="37"/>
      <c r="I474" s="405"/>
    </row>
    <row r="475" spans="1:11" s="9" customFormat="1" ht="30" customHeight="1">
      <c r="A475" s="53" t="s">
        <v>96</v>
      </c>
      <c r="B475" s="36">
        <v>5</v>
      </c>
      <c r="C475" s="36">
        <v>4</v>
      </c>
      <c r="D475" s="36"/>
      <c r="E475" s="41"/>
      <c r="F475" s="41"/>
      <c r="G475" s="41"/>
      <c r="H475" s="37"/>
      <c r="I475" s="405"/>
      <c r="K475" s="313"/>
    </row>
    <row r="476" spans="1:9" ht="30" customHeight="1">
      <c r="A476" s="53" t="s">
        <v>21</v>
      </c>
      <c r="B476" s="36">
        <v>6</v>
      </c>
      <c r="C476" s="36">
        <v>6</v>
      </c>
      <c r="D476" s="36"/>
      <c r="E476" s="41"/>
      <c r="F476" s="41"/>
      <c r="G476" s="41"/>
      <c r="H476" s="37"/>
      <c r="I476" s="405"/>
    </row>
    <row r="477" spans="1:9" ht="30" customHeight="1">
      <c r="A477" s="53" t="s">
        <v>11</v>
      </c>
      <c r="B477" s="36">
        <v>3</v>
      </c>
      <c r="C477" s="36">
        <v>3</v>
      </c>
      <c r="D477" s="36"/>
      <c r="E477" s="41"/>
      <c r="F477" s="41"/>
      <c r="G477" s="41"/>
      <c r="H477" s="37"/>
      <c r="I477" s="405"/>
    </row>
    <row r="478" spans="1:9" ht="30" customHeight="1">
      <c r="A478" s="480" t="s">
        <v>69</v>
      </c>
      <c r="B478" s="480"/>
      <c r="C478" s="480"/>
      <c r="D478" s="480"/>
      <c r="E478" s="480"/>
      <c r="F478" s="480"/>
      <c r="G478" s="480"/>
      <c r="H478" s="480"/>
      <c r="I478" s="480"/>
    </row>
    <row r="479" spans="1:9" ht="30" customHeight="1">
      <c r="A479" s="469" t="s">
        <v>436</v>
      </c>
      <c r="B479" s="469"/>
      <c r="C479" s="469"/>
      <c r="D479" s="21">
        <v>90</v>
      </c>
      <c r="E479" s="44">
        <v>12.8</v>
      </c>
      <c r="F479" s="44">
        <v>9.9</v>
      </c>
      <c r="G479" s="44">
        <v>10.8</v>
      </c>
      <c r="H479" s="43">
        <f>G479*4+F479*9+E479*4</f>
        <v>183.5</v>
      </c>
      <c r="I479" s="256" t="s">
        <v>227</v>
      </c>
    </row>
    <row r="480" spans="1:8" ht="30" customHeight="1">
      <c r="A480" s="86" t="s">
        <v>86</v>
      </c>
      <c r="B480" s="48">
        <f>C480*1.36</f>
        <v>91.12</v>
      </c>
      <c r="C480" s="5">
        <v>67</v>
      </c>
      <c r="D480" s="36"/>
      <c r="E480" s="95"/>
      <c r="F480" s="44"/>
      <c r="G480" s="44"/>
      <c r="H480" s="43"/>
    </row>
    <row r="481" spans="1:9" ht="30" customHeight="1">
      <c r="A481" s="86" t="s">
        <v>87</v>
      </c>
      <c r="B481" s="48">
        <f>C481*1.18</f>
        <v>79.06</v>
      </c>
      <c r="C481" s="35">
        <v>67</v>
      </c>
      <c r="D481" s="36"/>
      <c r="E481" s="44"/>
      <c r="F481" s="44"/>
      <c r="G481" s="44"/>
      <c r="H481" s="43"/>
      <c r="I481" s="256"/>
    </row>
    <row r="482" spans="1:9" ht="30" customHeight="1">
      <c r="A482" s="51" t="s">
        <v>10</v>
      </c>
      <c r="B482" s="5">
        <v>14</v>
      </c>
      <c r="C482" s="5">
        <v>14</v>
      </c>
      <c r="D482" s="36"/>
      <c r="E482" s="95"/>
      <c r="F482" s="44"/>
      <c r="G482" s="44"/>
      <c r="H482" s="43"/>
      <c r="I482" s="254"/>
    </row>
    <row r="483" spans="1:8" ht="30" customHeight="1">
      <c r="A483" s="53" t="s">
        <v>230</v>
      </c>
      <c r="B483" s="36">
        <v>11</v>
      </c>
      <c r="C483" s="36">
        <v>11</v>
      </c>
      <c r="D483" s="36"/>
      <c r="E483" s="41"/>
      <c r="F483" s="41"/>
      <c r="G483" s="41"/>
      <c r="H483" s="41"/>
    </row>
    <row r="484" spans="1:9" ht="30" customHeight="1">
      <c r="A484" s="58" t="s">
        <v>38</v>
      </c>
      <c r="B484" s="89">
        <f>B483*460/1000</f>
        <v>5.06</v>
      </c>
      <c r="C484" s="89">
        <f>C483*460/1000</f>
        <v>5.06</v>
      </c>
      <c r="D484" s="36"/>
      <c r="E484" s="95"/>
      <c r="F484" s="95"/>
      <c r="G484" s="95"/>
      <c r="H484" s="95"/>
      <c r="I484" s="254"/>
    </row>
    <row r="485" spans="1:9" ht="30" customHeight="1">
      <c r="A485" s="58" t="s">
        <v>39</v>
      </c>
      <c r="B485" s="89">
        <f>B483*120/1000</f>
        <v>1.32</v>
      </c>
      <c r="C485" s="89">
        <f>C483*120/1000</f>
        <v>1.32</v>
      </c>
      <c r="D485" s="36"/>
      <c r="E485" s="95"/>
      <c r="F485" s="95"/>
      <c r="G485" s="95"/>
      <c r="H485" s="95"/>
      <c r="I485" s="254"/>
    </row>
    <row r="486" spans="1:9" ht="30" customHeight="1">
      <c r="A486" s="181" t="s">
        <v>149</v>
      </c>
      <c r="B486" s="182">
        <f>B483-B484</f>
        <v>5.94</v>
      </c>
      <c r="C486" s="182">
        <f>C483-C484</f>
        <v>5.94</v>
      </c>
      <c r="D486" s="36"/>
      <c r="E486" s="95"/>
      <c r="F486" s="95"/>
      <c r="G486" s="95"/>
      <c r="H486" s="95"/>
      <c r="I486" s="254"/>
    </row>
    <row r="487" spans="1:9" ht="30" customHeight="1">
      <c r="A487" s="181" t="s">
        <v>150</v>
      </c>
      <c r="B487" s="182">
        <f>B483-B485</f>
        <v>9.68</v>
      </c>
      <c r="C487" s="182">
        <f>C483-C485</f>
        <v>9.68</v>
      </c>
      <c r="D487" s="36"/>
      <c r="E487" s="95"/>
      <c r="F487" s="95"/>
      <c r="G487" s="95"/>
      <c r="H487" s="95"/>
      <c r="I487" s="254"/>
    </row>
    <row r="488" spans="1:9" ht="30" customHeight="1">
      <c r="A488" s="53" t="s">
        <v>18</v>
      </c>
      <c r="B488" s="37">
        <f>C488*1.19</f>
        <v>8.33</v>
      </c>
      <c r="C488" s="36">
        <v>7</v>
      </c>
      <c r="D488" s="36"/>
      <c r="E488" s="95"/>
      <c r="F488" s="44"/>
      <c r="G488" s="44"/>
      <c r="H488" s="274"/>
      <c r="I488" s="254"/>
    </row>
    <row r="489" spans="1:9" ht="30" customHeight="1">
      <c r="A489" s="53" t="s">
        <v>84</v>
      </c>
      <c r="B489" s="225">
        <v>3.5</v>
      </c>
      <c r="C489" s="225">
        <v>3.5</v>
      </c>
      <c r="D489" s="36"/>
      <c r="E489" s="95"/>
      <c r="F489" s="95"/>
      <c r="G489" s="95"/>
      <c r="H489" s="248"/>
      <c r="I489" s="254"/>
    </row>
    <row r="490" spans="1:9" ht="30" customHeight="1">
      <c r="A490" s="53" t="s">
        <v>165</v>
      </c>
      <c r="B490" s="225">
        <v>7</v>
      </c>
      <c r="C490" s="225">
        <v>7</v>
      </c>
      <c r="D490" s="36"/>
      <c r="E490" s="95"/>
      <c r="F490" s="95"/>
      <c r="G490" s="95"/>
      <c r="H490" s="248"/>
      <c r="I490" s="254"/>
    </row>
    <row r="491" spans="1:9" ht="30" customHeight="1">
      <c r="A491" s="51" t="s">
        <v>11</v>
      </c>
      <c r="B491" s="5">
        <v>2</v>
      </c>
      <c r="C491" s="5">
        <v>2</v>
      </c>
      <c r="D491" s="36"/>
      <c r="E491" s="95"/>
      <c r="F491" s="44"/>
      <c r="G491" s="44"/>
      <c r="H491" s="43"/>
      <c r="I491" s="254"/>
    </row>
    <row r="492" spans="1:9" ht="30" customHeight="1">
      <c r="A492" s="476" t="s">
        <v>302</v>
      </c>
      <c r="B492" s="476"/>
      <c r="C492" s="476"/>
      <c r="D492" s="23">
        <v>150</v>
      </c>
      <c r="E492" s="109">
        <v>1.2</v>
      </c>
      <c r="F492" s="109">
        <v>5.1</v>
      </c>
      <c r="G492" s="109">
        <v>21.6</v>
      </c>
      <c r="H492" s="354">
        <f>E492*4+F492*9+G492*4</f>
        <v>137.1</v>
      </c>
      <c r="I492" s="270" t="s">
        <v>301</v>
      </c>
    </row>
    <row r="493" spans="1:8" ht="30" customHeight="1">
      <c r="A493" s="53" t="s">
        <v>12</v>
      </c>
      <c r="B493" s="37">
        <f>C493*1.33</f>
        <v>199.5</v>
      </c>
      <c r="C493" s="37">
        <v>150</v>
      </c>
      <c r="D493" s="36"/>
      <c r="E493" s="36"/>
      <c r="F493" s="36"/>
      <c r="G493" s="36"/>
      <c r="H493" s="36"/>
    </row>
    <row r="494" spans="1:8" ht="30" customHeight="1">
      <c r="A494" s="53" t="s">
        <v>13</v>
      </c>
      <c r="B494" s="37">
        <f>C494*1.43</f>
        <v>214.5</v>
      </c>
      <c r="C494" s="37">
        <v>150</v>
      </c>
      <c r="D494" s="36"/>
      <c r="E494" s="36"/>
      <c r="F494" s="36"/>
      <c r="G494" s="36"/>
      <c r="H494" s="36"/>
    </row>
    <row r="495" spans="1:8" ht="30" customHeight="1">
      <c r="A495" s="53" t="s">
        <v>14</v>
      </c>
      <c r="B495" s="37">
        <f>C495*1.54</f>
        <v>231</v>
      </c>
      <c r="C495" s="37">
        <v>150</v>
      </c>
      <c r="D495" s="36"/>
      <c r="E495" s="36"/>
      <c r="F495" s="36"/>
      <c r="G495" s="36"/>
      <c r="H495" s="36"/>
    </row>
    <row r="496" spans="1:11" s="9" customFormat="1" ht="30" customHeight="1">
      <c r="A496" s="53" t="s">
        <v>15</v>
      </c>
      <c r="B496" s="87">
        <f>C496*1.67</f>
        <v>250.5</v>
      </c>
      <c r="C496" s="87">
        <v>150</v>
      </c>
      <c r="D496" s="276"/>
      <c r="E496" s="276"/>
      <c r="F496" s="276"/>
      <c r="G496" s="276"/>
      <c r="H496" s="276"/>
      <c r="I496" s="254"/>
      <c r="K496" s="313"/>
    </row>
    <row r="497" spans="1:8" ht="30" customHeight="1">
      <c r="A497" s="53" t="s">
        <v>146</v>
      </c>
      <c r="B497" s="37">
        <v>25</v>
      </c>
      <c r="C497" s="37">
        <v>25</v>
      </c>
      <c r="D497" s="36"/>
      <c r="E497" s="36"/>
      <c r="F497" s="36"/>
      <c r="G497" s="36"/>
      <c r="H497" s="36"/>
    </row>
    <row r="498" spans="1:8" ht="30" customHeight="1">
      <c r="A498" s="53" t="s">
        <v>18</v>
      </c>
      <c r="B498" s="37">
        <f>C498*1.19</f>
        <v>19.04</v>
      </c>
      <c r="C498" s="36">
        <v>16</v>
      </c>
      <c r="D498" s="147"/>
      <c r="E498" s="147"/>
      <c r="F498" s="147"/>
      <c r="G498" s="147"/>
      <c r="H498" s="147"/>
    </row>
    <row r="499" spans="1:9" ht="30" customHeight="1">
      <c r="A499" s="53" t="s">
        <v>19</v>
      </c>
      <c r="B499" s="36">
        <v>5</v>
      </c>
      <c r="C499" s="36">
        <v>5</v>
      </c>
      <c r="D499" s="147"/>
      <c r="E499" s="355"/>
      <c r="F499" s="355"/>
      <c r="G499" s="355"/>
      <c r="H499" s="147"/>
      <c r="I499" s="258"/>
    </row>
    <row r="500" spans="1:9" ht="30" customHeight="1">
      <c r="A500" s="53" t="s">
        <v>147</v>
      </c>
      <c r="B500" s="36"/>
      <c r="C500" s="36">
        <v>8</v>
      </c>
      <c r="D500" s="147"/>
      <c r="E500" s="355"/>
      <c r="F500" s="355"/>
      <c r="G500" s="355"/>
      <c r="H500" s="147"/>
      <c r="I500" s="258"/>
    </row>
    <row r="501" spans="1:12" s="9" customFormat="1" ht="30" customHeight="1">
      <c r="A501" s="494" t="s">
        <v>300</v>
      </c>
      <c r="B501" s="494"/>
      <c r="C501" s="494"/>
      <c r="D501" s="145">
        <v>200</v>
      </c>
      <c r="E501" s="104">
        <v>0.1</v>
      </c>
      <c r="F501" s="104">
        <v>0</v>
      </c>
      <c r="G501" s="104">
        <v>19</v>
      </c>
      <c r="H501" s="43">
        <f>G501*4+F501*9+E501*4</f>
        <v>76.4</v>
      </c>
      <c r="I501" s="256" t="s">
        <v>278</v>
      </c>
      <c r="K501" s="313"/>
      <c r="L501" s="61"/>
    </row>
    <row r="502" spans="1:12" s="9" customFormat="1" ht="30" customHeight="1">
      <c r="A502" s="76" t="s">
        <v>115</v>
      </c>
      <c r="B502" s="50">
        <v>26.4</v>
      </c>
      <c r="C502" s="50">
        <v>25</v>
      </c>
      <c r="D502" s="230"/>
      <c r="E502" s="144"/>
      <c r="F502" s="144"/>
      <c r="G502" s="144"/>
      <c r="H502" s="247"/>
      <c r="I502" s="257"/>
      <c r="K502" s="313"/>
      <c r="L502" s="61"/>
    </row>
    <row r="503" spans="1:11" ht="30" customHeight="1">
      <c r="A503" s="53" t="s">
        <v>4</v>
      </c>
      <c r="B503" s="50">
        <v>15</v>
      </c>
      <c r="C503" s="50">
        <v>15</v>
      </c>
      <c r="D503" s="230"/>
      <c r="E503" s="144"/>
      <c r="F503" s="144"/>
      <c r="G503" s="144"/>
      <c r="H503" s="247"/>
      <c r="I503" s="253"/>
      <c r="J503" s="9"/>
      <c r="K503" s="313"/>
    </row>
    <row r="504" spans="1:9" ht="30" customHeight="1">
      <c r="A504" s="330" t="s">
        <v>20</v>
      </c>
      <c r="B504" s="25">
        <v>50</v>
      </c>
      <c r="C504" s="25">
        <v>50</v>
      </c>
      <c r="D504" s="39">
        <v>50</v>
      </c>
      <c r="E504" s="342">
        <v>2.3333333333333335</v>
      </c>
      <c r="F504" s="342">
        <v>0.5</v>
      </c>
      <c r="G504" s="342">
        <v>21.833333333333332</v>
      </c>
      <c r="H504" s="343">
        <v>101.33333333333333</v>
      </c>
      <c r="I504" s="344"/>
    </row>
    <row r="505" spans="1:9" ht="30" customHeight="1">
      <c r="A505" s="483" t="s">
        <v>74</v>
      </c>
      <c r="B505" s="483"/>
      <c r="C505" s="483"/>
      <c r="D505" s="39">
        <v>50</v>
      </c>
      <c r="E505" s="41"/>
      <c r="F505" s="41"/>
      <c r="G505" s="41"/>
      <c r="H505" s="41"/>
      <c r="I505" s="258"/>
    </row>
    <row r="506" spans="1:9" ht="30" customHeight="1">
      <c r="A506" s="203" t="s">
        <v>26</v>
      </c>
      <c r="B506" s="36">
        <v>30</v>
      </c>
      <c r="C506" s="36">
        <v>30</v>
      </c>
      <c r="D506" s="23">
        <v>30</v>
      </c>
      <c r="E506" s="109">
        <v>1.1</v>
      </c>
      <c r="F506" s="109">
        <v>0.3</v>
      </c>
      <c r="G506" s="109">
        <v>14.1</v>
      </c>
      <c r="H506" s="238">
        <v>61.5</v>
      </c>
      <c r="I506" s="258"/>
    </row>
    <row r="507" spans="1:12" s="9" customFormat="1" ht="30" customHeight="1">
      <c r="A507" s="472" t="s">
        <v>24</v>
      </c>
      <c r="B507" s="472"/>
      <c r="C507" s="472"/>
      <c r="D507" s="472"/>
      <c r="E507" s="99">
        <f>E441+E422</f>
        <v>41.50533333333333</v>
      </c>
      <c r="F507" s="99">
        <f>F441+F422</f>
        <v>40</v>
      </c>
      <c r="G507" s="99">
        <f>G441+G422</f>
        <v>186.47333333333333</v>
      </c>
      <c r="H507" s="96">
        <f>H441+H422</f>
        <v>1273.7813333333334</v>
      </c>
      <c r="I507" s="253"/>
      <c r="K507" s="313"/>
      <c r="L507" s="61"/>
    </row>
    <row r="508" spans="1:8" ht="30" customHeight="1">
      <c r="A508" s="466" t="s">
        <v>189</v>
      </c>
      <c r="B508" s="467"/>
      <c r="C508" s="467"/>
      <c r="D508" s="467"/>
      <c r="E508" s="358">
        <f>(E101+E201+E298+E418+E507)/5</f>
        <v>46.67106666666667</v>
      </c>
      <c r="F508" s="358">
        <f>(F101+F201+F298+F418+F507)/5</f>
        <v>46.504999999999995</v>
      </c>
      <c r="G508" s="358">
        <f>(G101+G201+G298+G418+G507)/5</f>
        <v>180.038</v>
      </c>
      <c r="H508" s="358">
        <f>(H101+H201+H298+H418+H507)/5</f>
        <v>1325.0812666666666</v>
      </c>
    </row>
    <row r="509" spans="1:8" ht="30" customHeight="1">
      <c r="A509" s="466" t="s">
        <v>185</v>
      </c>
      <c r="B509" s="467"/>
      <c r="C509" s="467"/>
      <c r="D509" s="467"/>
      <c r="E509" s="358" t="s">
        <v>186</v>
      </c>
      <c r="F509" s="358" t="s">
        <v>187</v>
      </c>
      <c r="G509" s="358" t="s">
        <v>188</v>
      </c>
      <c r="H509" s="358" t="s">
        <v>158</v>
      </c>
    </row>
    <row r="510" spans="1:8" ht="30" customHeight="1">
      <c r="A510" s="466" t="s">
        <v>473</v>
      </c>
      <c r="B510" s="467"/>
      <c r="C510" s="467"/>
      <c r="D510" s="467"/>
      <c r="E510" s="358">
        <v>77</v>
      </c>
      <c r="F510" s="358">
        <v>79</v>
      </c>
      <c r="G510" s="358">
        <v>335</v>
      </c>
      <c r="H510" s="358">
        <v>2350</v>
      </c>
    </row>
    <row r="511" spans="1:11" s="9" customFormat="1" ht="30" customHeight="1">
      <c r="A511" s="478" t="s">
        <v>45</v>
      </c>
      <c r="B511" s="478"/>
      <c r="C511" s="478"/>
      <c r="D511" s="478"/>
      <c r="E511" s="478"/>
      <c r="F511" s="478"/>
      <c r="G511" s="478"/>
      <c r="H511" s="478"/>
      <c r="I511" s="478"/>
      <c r="K511" s="313"/>
    </row>
    <row r="512" spans="1:11" s="9" customFormat="1" ht="30" customHeight="1">
      <c r="A512" s="470" t="s">
        <v>0</v>
      </c>
      <c r="B512" s="471" t="s">
        <v>6</v>
      </c>
      <c r="C512" s="471" t="s">
        <v>7</v>
      </c>
      <c r="D512" s="470" t="s">
        <v>5</v>
      </c>
      <c r="E512" s="470"/>
      <c r="F512" s="470"/>
      <c r="G512" s="470"/>
      <c r="H512" s="470"/>
      <c r="I512" s="470"/>
      <c r="K512" s="313"/>
    </row>
    <row r="513" spans="1:11" s="9" customFormat="1" ht="30" customHeight="1">
      <c r="A513" s="470"/>
      <c r="B513" s="471"/>
      <c r="C513" s="471"/>
      <c r="D513" s="135" t="s">
        <v>8</v>
      </c>
      <c r="E513" s="281" t="s">
        <v>1</v>
      </c>
      <c r="F513" s="281" t="s">
        <v>2</v>
      </c>
      <c r="G513" s="281" t="s">
        <v>9</v>
      </c>
      <c r="H513" s="280" t="s">
        <v>3</v>
      </c>
      <c r="I513" s="282" t="s">
        <v>190</v>
      </c>
      <c r="K513" s="313"/>
    </row>
    <row r="514" spans="1:11" s="9" customFormat="1" ht="30" customHeight="1">
      <c r="A514" s="485" t="s">
        <v>105</v>
      </c>
      <c r="B514" s="485"/>
      <c r="C514" s="485"/>
      <c r="D514" s="245">
        <f>35+D518+D546+207+D568</f>
        <v>682</v>
      </c>
      <c r="E514" s="99">
        <f>E515+E518+E546+E563+E567+E568</f>
        <v>19.5</v>
      </c>
      <c r="F514" s="99">
        <f>F515+F518+F546+F563+F567+F568</f>
        <v>21.4</v>
      </c>
      <c r="G514" s="99">
        <f>G515+G518+G546+G563+G567+G568</f>
        <v>71.1</v>
      </c>
      <c r="H514" s="99">
        <f>H515+H518+H546+H563+H567+H568</f>
        <v>554.0999999999999</v>
      </c>
      <c r="I514" s="255"/>
      <c r="K514" s="314" t="s">
        <v>45</v>
      </c>
    </row>
    <row r="515" spans="1:12" s="9" customFormat="1" ht="30" customHeight="1">
      <c r="A515" s="481" t="s">
        <v>279</v>
      </c>
      <c r="B515" s="482"/>
      <c r="C515" s="482"/>
      <c r="D515" s="33" t="s">
        <v>464</v>
      </c>
      <c r="E515" s="45">
        <v>2.4</v>
      </c>
      <c r="F515" s="45">
        <v>5.6</v>
      </c>
      <c r="G515" s="45">
        <v>10.8</v>
      </c>
      <c r="H515" s="43">
        <f>G515*4+F515*9+E515*4</f>
        <v>103.19999999999999</v>
      </c>
      <c r="I515" s="231" t="s">
        <v>280</v>
      </c>
      <c r="K515" s="301" t="s">
        <v>26</v>
      </c>
      <c r="L515" s="2">
        <f>D650+C567</f>
        <v>60</v>
      </c>
    </row>
    <row r="516" spans="1:12" s="9" customFormat="1" ht="30" customHeight="1">
      <c r="A516" s="53" t="s">
        <v>128</v>
      </c>
      <c r="B516" s="36">
        <v>20</v>
      </c>
      <c r="C516" s="36">
        <v>20</v>
      </c>
      <c r="D516" s="36"/>
      <c r="E516" s="95"/>
      <c r="F516" s="95"/>
      <c r="G516" s="95"/>
      <c r="H516" s="95"/>
      <c r="I516" s="95"/>
      <c r="K516" s="301" t="s">
        <v>126</v>
      </c>
      <c r="L516" s="19">
        <f>C616+D648+C516+C524</f>
        <v>88</v>
      </c>
    </row>
    <row r="517" spans="1:12" s="9" customFormat="1" ht="30" customHeight="1">
      <c r="A517" s="53" t="s">
        <v>118</v>
      </c>
      <c r="B517" s="36">
        <v>16</v>
      </c>
      <c r="C517" s="36">
        <v>15</v>
      </c>
      <c r="D517" s="36"/>
      <c r="E517" s="95"/>
      <c r="F517" s="44"/>
      <c r="G517" s="44"/>
      <c r="H517" s="43"/>
      <c r="I517" s="254"/>
      <c r="K517" s="301" t="s">
        <v>155</v>
      </c>
      <c r="L517" s="19">
        <f>C642+C624</f>
        <v>8.5</v>
      </c>
    </row>
    <row r="518" spans="1:12" s="9" customFormat="1" ht="30" customHeight="1">
      <c r="A518" s="476" t="s">
        <v>399</v>
      </c>
      <c r="B518" s="476"/>
      <c r="C518" s="476"/>
      <c r="D518" s="23">
        <v>90</v>
      </c>
      <c r="E518" s="44">
        <v>12.6</v>
      </c>
      <c r="F518" s="44">
        <v>11.6</v>
      </c>
      <c r="G518" s="44">
        <v>6.2</v>
      </c>
      <c r="H518" s="408">
        <f>E518*4+F518*9+G518*4</f>
        <v>179.6</v>
      </c>
      <c r="I518" s="231" t="s">
        <v>398</v>
      </c>
      <c r="K518" s="301" t="s">
        <v>66</v>
      </c>
      <c r="L518" s="19"/>
    </row>
    <row r="519" spans="1:12" s="9" customFormat="1" ht="30" customHeight="1">
      <c r="A519" s="55" t="s">
        <v>109</v>
      </c>
      <c r="B519" s="48">
        <f>C519*2.32</f>
        <v>74.24</v>
      </c>
      <c r="C519" s="29">
        <v>32</v>
      </c>
      <c r="D519" s="74"/>
      <c r="E519" s="106"/>
      <c r="F519" s="106"/>
      <c r="G519" s="106"/>
      <c r="H519" s="106"/>
      <c r="I519" s="106"/>
      <c r="K519" s="301" t="s">
        <v>65</v>
      </c>
      <c r="L519" s="19">
        <f>C592</f>
        <v>20</v>
      </c>
    </row>
    <row r="520" spans="1:12" s="9" customFormat="1" ht="30" customHeight="1">
      <c r="A520" s="112" t="s">
        <v>151</v>
      </c>
      <c r="B520" s="48">
        <f>C520*1.34</f>
        <v>42.88</v>
      </c>
      <c r="C520" s="393" t="s">
        <v>457</v>
      </c>
      <c r="D520" s="74"/>
      <c r="E520" s="395"/>
      <c r="F520" s="395"/>
      <c r="G520" s="395"/>
      <c r="H520" s="395"/>
      <c r="I520" s="236"/>
      <c r="K520" s="301" t="s">
        <v>27</v>
      </c>
      <c r="L520" s="19">
        <f>C635+C548</f>
        <v>158</v>
      </c>
    </row>
    <row r="521" spans="1:12" s="9" customFormat="1" ht="30" customHeight="1">
      <c r="A521" s="112" t="s">
        <v>125</v>
      </c>
      <c r="B521" s="48">
        <f>C521*1.054</f>
        <v>33.728</v>
      </c>
      <c r="C521" s="393" t="s">
        <v>457</v>
      </c>
      <c r="D521" s="74"/>
      <c r="E521" s="395"/>
      <c r="F521" s="95"/>
      <c r="G521" s="95"/>
      <c r="H521" s="87"/>
      <c r="I521" s="236"/>
      <c r="K521" s="301" t="s">
        <v>201</v>
      </c>
      <c r="L521" s="19">
        <f>C593+C595+C571+C622+C633+C639+C628+C629+C573+C559+C561</f>
        <v>272</v>
      </c>
    </row>
    <row r="522" spans="1:12" s="9" customFormat="1" ht="30" customHeight="1">
      <c r="A522" s="86" t="s">
        <v>86</v>
      </c>
      <c r="B522" s="48">
        <f>C522*1.36</f>
        <v>43.52</v>
      </c>
      <c r="C522" s="5">
        <v>32</v>
      </c>
      <c r="D522" s="74"/>
      <c r="E522" s="95"/>
      <c r="F522" s="44"/>
      <c r="G522" s="44"/>
      <c r="H522" s="43"/>
      <c r="I522" s="255"/>
      <c r="K522" s="301" t="s">
        <v>28</v>
      </c>
      <c r="L522" s="18">
        <f>C566+D568</f>
        <v>157</v>
      </c>
    </row>
    <row r="523" spans="1:12" s="9" customFormat="1" ht="30" customHeight="1">
      <c r="A523" s="86" t="s">
        <v>87</v>
      </c>
      <c r="B523" s="48">
        <f>C523*1.18</f>
        <v>37.76</v>
      </c>
      <c r="C523" s="29">
        <v>32</v>
      </c>
      <c r="D523" s="74"/>
      <c r="E523" s="106"/>
      <c r="F523" s="106"/>
      <c r="G523" s="106"/>
      <c r="H523" s="106"/>
      <c r="I523" s="106"/>
      <c r="K523" s="301" t="s">
        <v>170</v>
      </c>
      <c r="L523" s="19"/>
    </row>
    <row r="524" spans="1:12" s="9" customFormat="1" ht="30" customHeight="1">
      <c r="A524" s="56" t="s">
        <v>396</v>
      </c>
      <c r="B524" s="87">
        <v>14</v>
      </c>
      <c r="C524" s="276">
        <v>14</v>
      </c>
      <c r="D524" s="74"/>
      <c r="E524" s="106"/>
      <c r="F524" s="106"/>
      <c r="G524" s="106"/>
      <c r="H524" s="106"/>
      <c r="I524" s="106"/>
      <c r="K524" s="301" t="s">
        <v>202</v>
      </c>
      <c r="L524" s="19">
        <f>C565</f>
        <v>15</v>
      </c>
    </row>
    <row r="525" spans="1:12" s="9" customFormat="1" ht="30" customHeight="1">
      <c r="A525" s="56" t="s">
        <v>84</v>
      </c>
      <c r="B525" s="37">
        <v>8</v>
      </c>
      <c r="C525" s="37">
        <v>8</v>
      </c>
      <c r="D525" s="74"/>
      <c r="E525" s="106"/>
      <c r="F525" s="95"/>
      <c r="G525" s="95"/>
      <c r="H525" s="87"/>
      <c r="I525" s="227"/>
      <c r="K525" s="301" t="s">
        <v>357</v>
      </c>
      <c r="L525" s="2">
        <f>C643</f>
        <v>200</v>
      </c>
    </row>
    <row r="526" spans="1:13" s="9" customFormat="1" ht="30" customHeight="1">
      <c r="A526" s="54" t="s">
        <v>52</v>
      </c>
      <c r="B526" s="37">
        <v>18</v>
      </c>
      <c r="C526" s="36">
        <v>18</v>
      </c>
      <c r="D526" s="74"/>
      <c r="E526" s="409"/>
      <c r="F526" s="41"/>
      <c r="G526" s="352"/>
      <c r="H526" s="410"/>
      <c r="I526" s="411"/>
      <c r="J526" s="61"/>
      <c r="K526" s="315" t="s">
        <v>29</v>
      </c>
      <c r="L526" s="18"/>
      <c r="M526" s="61"/>
    </row>
    <row r="527" spans="1:12" s="9" customFormat="1" ht="30" customHeight="1">
      <c r="A527" s="58" t="s">
        <v>38</v>
      </c>
      <c r="B527" s="89">
        <f>B526*460/1000</f>
        <v>8.28</v>
      </c>
      <c r="C527" s="89">
        <f>C526*460/1000</f>
        <v>8.28</v>
      </c>
      <c r="D527" s="74"/>
      <c r="E527" s="95"/>
      <c r="F527" s="95"/>
      <c r="G527" s="95"/>
      <c r="H527" s="276"/>
      <c r="I527" s="255"/>
      <c r="K527" s="301" t="s">
        <v>70</v>
      </c>
      <c r="L527" s="2"/>
    </row>
    <row r="528" spans="1:12" s="9" customFormat="1" ht="30" customHeight="1">
      <c r="A528" s="58" t="s">
        <v>39</v>
      </c>
      <c r="B528" s="89">
        <f>B526*120/1000</f>
        <v>2.16</v>
      </c>
      <c r="C528" s="89">
        <f>C526*120/1000</f>
        <v>2.16</v>
      </c>
      <c r="D528" s="74"/>
      <c r="E528" s="95"/>
      <c r="F528" s="95"/>
      <c r="G528" s="95"/>
      <c r="H528" s="276"/>
      <c r="I528" s="255"/>
      <c r="K528" s="301" t="s">
        <v>182</v>
      </c>
      <c r="L528" s="2"/>
    </row>
    <row r="529" spans="1:11" s="9" customFormat="1" ht="30" customHeight="1">
      <c r="A529" s="181" t="s">
        <v>149</v>
      </c>
      <c r="B529" s="182">
        <f>B526-B527</f>
        <v>9.72</v>
      </c>
      <c r="C529" s="182">
        <f>C526-C527</f>
        <v>9.72</v>
      </c>
      <c r="D529" s="74"/>
      <c r="E529" s="407"/>
      <c r="F529" s="407"/>
      <c r="G529" s="407"/>
      <c r="H529" s="406"/>
      <c r="I529" s="255"/>
      <c r="K529" s="301" t="s">
        <v>183</v>
      </c>
    </row>
    <row r="530" spans="1:12" s="9" customFormat="1" ht="30" customHeight="1">
      <c r="A530" s="181" t="s">
        <v>150</v>
      </c>
      <c r="B530" s="182">
        <f>B526-B528</f>
        <v>15.84</v>
      </c>
      <c r="C530" s="182">
        <f>C526-C528</f>
        <v>15.84</v>
      </c>
      <c r="D530" s="74"/>
      <c r="E530" s="407"/>
      <c r="F530" s="407"/>
      <c r="G530" s="407"/>
      <c r="H530" s="406"/>
      <c r="I530" s="255"/>
      <c r="K530" s="316" t="s">
        <v>30</v>
      </c>
      <c r="L530" s="2">
        <f>C564</f>
        <v>1</v>
      </c>
    </row>
    <row r="531" spans="1:12" s="9" customFormat="1" ht="30" customHeight="1">
      <c r="A531" s="57" t="s">
        <v>397</v>
      </c>
      <c r="B531" s="35">
        <v>2</v>
      </c>
      <c r="C531" s="35">
        <v>2</v>
      </c>
      <c r="D531" s="74"/>
      <c r="E531" s="106"/>
      <c r="F531" s="94"/>
      <c r="G531" s="94"/>
      <c r="H531" s="412"/>
      <c r="I531" s="413"/>
      <c r="K531" s="301" t="s">
        <v>172</v>
      </c>
      <c r="L531" s="19">
        <f>C614+C522</f>
        <v>99</v>
      </c>
    </row>
    <row r="532" spans="1:12" s="9" customFormat="1" ht="30" customHeight="1">
      <c r="A532" s="468" t="s">
        <v>69</v>
      </c>
      <c r="B532" s="468"/>
      <c r="C532" s="468"/>
      <c r="D532" s="468"/>
      <c r="E532" s="468"/>
      <c r="F532" s="468"/>
      <c r="G532" s="468"/>
      <c r="H532" s="468"/>
      <c r="I532" s="468"/>
      <c r="K532" s="301" t="s">
        <v>174</v>
      </c>
      <c r="L532" s="19">
        <f>C519+C578</f>
        <v>46</v>
      </c>
    </row>
    <row r="533" spans="1:12" s="9" customFormat="1" ht="30" customHeight="1">
      <c r="A533" s="469" t="s">
        <v>435</v>
      </c>
      <c r="B533" s="469"/>
      <c r="C533" s="469"/>
      <c r="D533" s="21">
        <v>90</v>
      </c>
      <c r="E533" s="44">
        <v>12.8</v>
      </c>
      <c r="F533" s="44">
        <v>9.9</v>
      </c>
      <c r="G533" s="44">
        <v>10.8</v>
      </c>
      <c r="H533" s="43">
        <f>G533*4+F533*9+E533*4</f>
        <v>183.5</v>
      </c>
      <c r="I533" s="256" t="s">
        <v>227</v>
      </c>
      <c r="K533" s="301" t="s">
        <v>173</v>
      </c>
      <c r="L533" s="19"/>
    </row>
    <row r="534" spans="1:12" s="9" customFormat="1" ht="30" customHeight="1">
      <c r="A534" s="86" t="s">
        <v>86</v>
      </c>
      <c r="B534" s="48">
        <f>C534*1.36</f>
        <v>91.12</v>
      </c>
      <c r="C534" s="5">
        <v>67</v>
      </c>
      <c r="D534" s="36"/>
      <c r="E534" s="95"/>
      <c r="F534" s="44"/>
      <c r="G534" s="44"/>
      <c r="H534" s="43"/>
      <c r="I534" s="255"/>
      <c r="K534" s="301" t="s">
        <v>175</v>
      </c>
      <c r="L534" s="19"/>
    </row>
    <row r="535" spans="1:12" s="9" customFormat="1" ht="30" customHeight="1">
      <c r="A535" s="86" t="s">
        <v>87</v>
      </c>
      <c r="B535" s="48">
        <f>C535*1.18</f>
        <v>79.06</v>
      </c>
      <c r="C535" s="35">
        <v>67</v>
      </c>
      <c r="D535" s="36"/>
      <c r="E535" s="44"/>
      <c r="F535" s="44"/>
      <c r="G535" s="44"/>
      <c r="H535" s="43"/>
      <c r="I535" s="255"/>
      <c r="K535" s="305" t="s">
        <v>80</v>
      </c>
      <c r="L535" s="19">
        <f>C552+C617+C526</f>
        <v>52</v>
      </c>
    </row>
    <row r="536" spans="1:12" s="9" customFormat="1" ht="30" customHeight="1">
      <c r="A536" s="51" t="s">
        <v>10</v>
      </c>
      <c r="B536" s="5">
        <v>14</v>
      </c>
      <c r="C536" s="5">
        <v>14</v>
      </c>
      <c r="D536" s="36"/>
      <c r="E536" s="95"/>
      <c r="F536" s="44"/>
      <c r="G536" s="44"/>
      <c r="H536" s="43"/>
      <c r="I536" s="254"/>
      <c r="K536" s="307" t="s">
        <v>176</v>
      </c>
      <c r="L536" s="19"/>
    </row>
    <row r="537" spans="1:12" s="9" customFormat="1" ht="30" customHeight="1">
      <c r="A537" s="53" t="s">
        <v>230</v>
      </c>
      <c r="B537" s="36">
        <v>11</v>
      </c>
      <c r="C537" s="36">
        <v>11</v>
      </c>
      <c r="D537" s="36"/>
      <c r="E537" s="41"/>
      <c r="F537" s="41"/>
      <c r="G537" s="41"/>
      <c r="H537" s="41"/>
      <c r="I537" s="255"/>
      <c r="K537" s="301" t="s">
        <v>177</v>
      </c>
      <c r="L537" s="73"/>
    </row>
    <row r="538" spans="1:12" s="9" customFormat="1" ht="30" customHeight="1">
      <c r="A538" s="58" t="s">
        <v>38</v>
      </c>
      <c r="B538" s="89">
        <f>B537*460/1000</f>
        <v>5.06</v>
      </c>
      <c r="C538" s="89">
        <f>C537*460/1000</f>
        <v>5.06</v>
      </c>
      <c r="D538" s="36"/>
      <c r="E538" s="95"/>
      <c r="F538" s="95"/>
      <c r="G538" s="95"/>
      <c r="H538" s="95"/>
      <c r="I538" s="254"/>
      <c r="K538" s="301" t="s">
        <v>31</v>
      </c>
      <c r="L538" s="73">
        <f>C641</f>
        <v>15</v>
      </c>
    </row>
    <row r="539" spans="1:12" s="9" customFormat="1" ht="30" customHeight="1">
      <c r="A539" s="58" t="s">
        <v>39</v>
      </c>
      <c r="B539" s="89">
        <f>B537*120/1000</f>
        <v>1.32</v>
      </c>
      <c r="C539" s="89">
        <f>C537*120/1000</f>
        <v>1.32</v>
      </c>
      <c r="D539" s="36"/>
      <c r="E539" s="95"/>
      <c r="F539" s="95"/>
      <c r="G539" s="95"/>
      <c r="H539" s="95"/>
      <c r="I539" s="254"/>
      <c r="K539" s="301" t="s">
        <v>178</v>
      </c>
      <c r="L539" s="2">
        <f>C517</f>
        <v>15</v>
      </c>
    </row>
    <row r="540" spans="1:12" s="9" customFormat="1" ht="30" customHeight="1">
      <c r="A540" s="181" t="s">
        <v>149</v>
      </c>
      <c r="B540" s="182">
        <f>B537-B538</f>
        <v>5.94</v>
      </c>
      <c r="C540" s="182">
        <f>C537-C538</f>
        <v>5.94</v>
      </c>
      <c r="D540" s="36"/>
      <c r="E540" s="95"/>
      <c r="F540" s="95"/>
      <c r="G540" s="95"/>
      <c r="H540" s="95"/>
      <c r="I540" s="254"/>
      <c r="K540" s="301" t="s">
        <v>32</v>
      </c>
      <c r="L540" s="19">
        <f>C596+C626+C557</f>
        <v>15</v>
      </c>
    </row>
    <row r="541" spans="1:12" s="9" customFormat="1" ht="30" customHeight="1">
      <c r="A541" s="181" t="s">
        <v>150</v>
      </c>
      <c r="B541" s="182">
        <f>B537-B539</f>
        <v>9.68</v>
      </c>
      <c r="C541" s="182">
        <f>C537-C539</f>
        <v>9.68</v>
      </c>
      <c r="D541" s="36"/>
      <c r="E541" s="95"/>
      <c r="F541" s="95"/>
      <c r="G541" s="95"/>
      <c r="H541" s="95"/>
      <c r="I541" s="254"/>
      <c r="K541" s="301" t="s">
        <v>33</v>
      </c>
      <c r="L541" s="19">
        <f>C625+C640+C574+C531</f>
        <v>11</v>
      </c>
    </row>
    <row r="542" spans="1:12" s="9" customFormat="1" ht="30" customHeight="1">
      <c r="A542" s="53" t="s">
        <v>18</v>
      </c>
      <c r="B542" s="37">
        <f>C542*1.19</f>
        <v>8.33</v>
      </c>
      <c r="C542" s="36">
        <v>7</v>
      </c>
      <c r="D542" s="36"/>
      <c r="E542" s="95"/>
      <c r="F542" s="44"/>
      <c r="G542" s="44"/>
      <c r="H542" s="274"/>
      <c r="I542" s="254"/>
      <c r="K542" s="301" t="s">
        <v>179</v>
      </c>
      <c r="L542" s="19">
        <f>C623+C525</f>
        <v>11.5</v>
      </c>
    </row>
    <row r="543" spans="1:12" s="9" customFormat="1" ht="30" customHeight="1">
      <c r="A543" s="53" t="s">
        <v>84</v>
      </c>
      <c r="B543" s="225">
        <v>3.5</v>
      </c>
      <c r="C543" s="225">
        <v>3.5</v>
      </c>
      <c r="D543" s="36"/>
      <c r="E543" s="95"/>
      <c r="F543" s="95"/>
      <c r="G543" s="95"/>
      <c r="H543" s="248"/>
      <c r="I543" s="254"/>
      <c r="K543" s="301" t="s">
        <v>334</v>
      </c>
      <c r="L543" s="61"/>
    </row>
    <row r="544" spans="1:12" s="9" customFormat="1" ht="30" customHeight="1">
      <c r="A544" s="53" t="s">
        <v>165</v>
      </c>
      <c r="B544" s="225">
        <v>7</v>
      </c>
      <c r="C544" s="225">
        <v>7</v>
      </c>
      <c r="D544" s="36"/>
      <c r="E544" s="95"/>
      <c r="F544" s="95"/>
      <c r="G544" s="95"/>
      <c r="H544" s="248"/>
      <c r="I544" s="254"/>
      <c r="K544" s="301" t="s">
        <v>181</v>
      </c>
      <c r="L544" s="15">
        <v>1.5</v>
      </c>
    </row>
    <row r="545" spans="1:12" s="9" customFormat="1" ht="30" customHeight="1">
      <c r="A545" s="51" t="s">
        <v>11</v>
      </c>
      <c r="B545" s="5">
        <v>2</v>
      </c>
      <c r="C545" s="5">
        <v>2</v>
      </c>
      <c r="D545" s="36"/>
      <c r="E545" s="95"/>
      <c r="F545" s="44"/>
      <c r="G545" s="44"/>
      <c r="H545" s="43"/>
      <c r="I545" s="254"/>
      <c r="K545" s="301" t="s">
        <v>180</v>
      </c>
      <c r="L545" s="15">
        <v>1</v>
      </c>
    </row>
    <row r="546" spans="1:9" s="9" customFormat="1" ht="30" customHeight="1">
      <c r="A546" s="474" t="s">
        <v>341</v>
      </c>
      <c r="B546" s="475"/>
      <c r="C546" s="475"/>
      <c r="D546" s="39">
        <v>200</v>
      </c>
      <c r="E546" s="83">
        <v>3.3</v>
      </c>
      <c r="F546" s="83">
        <v>4</v>
      </c>
      <c r="G546" s="83">
        <v>20.9</v>
      </c>
      <c r="H546" s="43">
        <f>G546*4+F546*9+E546*4</f>
        <v>132.79999999999998</v>
      </c>
      <c r="I546" s="256"/>
    </row>
    <row r="547" spans="1:13" s="111" customFormat="1" ht="30" customHeight="1">
      <c r="A547" s="479" t="s">
        <v>342</v>
      </c>
      <c r="B547" s="479"/>
      <c r="C547" s="479"/>
      <c r="D547" s="39">
        <v>150</v>
      </c>
      <c r="E547" s="83"/>
      <c r="F547" s="83"/>
      <c r="G547" s="83"/>
      <c r="H547" s="43"/>
      <c r="I547" s="256" t="s">
        <v>234</v>
      </c>
      <c r="M547" s="9"/>
    </row>
    <row r="548" spans="1:13" s="111" customFormat="1" ht="30" customHeight="1">
      <c r="A548" s="53" t="s">
        <v>12</v>
      </c>
      <c r="B548" s="37">
        <f>C548*1.33</f>
        <v>170.24</v>
      </c>
      <c r="C548" s="37">
        <v>128</v>
      </c>
      <c r="D548" s="36"/>
      <c r="E548" s="95"/>
      <c r="F548" s="95"/>
      <c r="G548" s="95"/>
      <c r="H548" s="227"/>
      <c r="I548" s="255"/>
      <c r="M548" s="2"/>
    </row>
    <row r="549" spans="1:13" s="111" customFormat="1" ht="30" customHeight="1">
      <c r="A549" s="53" t="s">
        <v>13</v>
      </c>
      <c r="B549" s="37">
        <f>C549*1.43</f>
        <v>183.04</v>
      </c>
      <c r="C549" s="37">
        <v>128</v>
      </c>
      <c r="D549" s="36"/>
      <c r="E549" s="95"/>
      <c r="F549" s="95"/>
      <c r="G549" s="95"/>
      <c r="H549" s="276"/>
      <c r="I549" s="254"/>
      <c r="M549" s="1"/>
    </row>
    <row r="550" spans="1:9" s="9" customFormat="1" ht="30" customHeight="1">
      <c r="A550" s="53" t="s">
        <v>14</v>
      </c>
      <c r="B550" s="37">
        <f>C550*1.54</f>
        <v>197.12</v>
      </c>
      <c r="C550" s="37">
        <v>128</v>
      </c>
      <c r="D550" s="36"/>
      <c r="E550" s="95"/>
      <c r="F550" s="44"/>
      <c r="G550" s="44"/>
      <c r="H550" s="274"/>
      <c r="I550" s="254"/>
    </row>
    <row r="551" spans="1:13" s="9" customFormat="1" ht="30" customHeight="1">
      <c r="A551" s="53" t="s">
        <v>15</v>
      </c>
      <c r="B551" s="37">
        <f>C551*1.67</f>
        <v>213.76</v>
      </c>
      <c r="C551" s="37">
        <v>128</v>
      </c>
      <c r="D551" s="36"/>
      <c r="E551" s="95"/>
      <c r="F551" s="44"/>
      <c r="G551" s="44"/>
      <c r="H551" s="274"/>
      <c r="I551" s="254"/>
      <c r="M551" s="1"/>
    </row>
    <row r="552" spans="1:13" s="9" customFormat="1" ht="30" customHeight="1">
      <c r="A552" s="53" t="s">
        <v>52</v>
      </c>
      <c r="B552" s="36">
        <v>23</v>
      </c>
      <c r="C552" s="36">
        <v>23</v>
      </c>
      <c r="D552" s="36"/>
      <c r="E552" s="41"/>
      <c r="F552" s="41"/>
      <c r="G552" s="41"/>
      <c r="H552" s="36"/>
      <c r="I552" s="336"/>
      <c r="J552" s="61"/>
      <c r="M552" s="61"/>
    </row>
    <row r="553" spans="1:9" s="9" customFormat="1" ht="30" customHeight="1">
      <c r="A553" s="58" t="s">
        <v>38</v>
      </c>
      <c r="B553" s="89">
        <f>B552*460/1000</f>
        <v>10.58</v>
      </c>
      <c r="C553" s="89">
        <f>C552*460/1000</f>
        <v>10.58</v>
      </c>
      <c r="D553" s="36"/>
      <c r="E553" s="95"/>
      <c r="F553" s="95"/>
      <c r="G553" s="95"/>
      <c r="H553" s="276"/>
      <c r="I553" s="254"/>
    </row>
    <row r="554" spans="1:10" s="9" customFormat="1" ht="30" customHeight="1">
      <c r="A554" s="58" t="s">
        <v>39</v>
      </c>
      <c r="B554" s="89">
        <f>B552*120/1000</f>
        <v>2.76</v>
      </c>
      <c r="C554" s="89">
        <f>C552*120/1000</f>
        <v>2.76</v>
      </c>
      <c r="D554" s="36"/>
      <c r="E554" s="95"/>
      <c r="F554" s="95"/>
      <c r="G554" s="95"/>
      <c r="H554" s="276"/>
      <c r="I554" s="254"/>
      <c r="J554" s="61"/>
    </row>
    <row r="555" spans="1:9" s="9" customFormat="1" ht="30" customHeight="1">
      <c r="A555" s="181" t="s">
        <v>149</v>
      </c>
      <c r="B555" s="182">
        <f>B552-B553</f>
        <v>12.42</v>
      </c>
      <c r="C555" s="182">
        <f>C552-C553</f>
        <v>12.42</v>
      </c>
      <c r="D555" s="36"/>
      <c r="E555" s="95"/>
      <c r="F555" s="95"/>
      <c r="G555" s="95"/>
      <c r="H555" s="276"/>
      <c r="I555" s="254"/>
    </row>
    <row r="556" spans="1:9" s="9" customFormat="1" ht="30" customHeight="1">
      <c r="A556" s="181" t="s">
        <v>150</v>
      </c>
      <c r="B556" s="182">
        <f>B552-B554</f>
        <v>20.240000000000002</v>
      </c>
      <c r="C556" s="182">
        <f>C552-C554</f>
        <v>20.240000000000002</v>
      </c>
      <c r="D556" s="36"/>
      <c r="E556" s="95"/>
      <c r="F556" s="95"/>
      <c r="G556" s="95"/>
      <c r="H556" s="276"/>
      <c r="I556" s="255"/>
    </row>
    <row r="557" spans="1:9" s="9" customFormat="1" ht="30" customHeight="1">
      <c r="A557" s="51" t="s">
        <v>19</v>
      </c>
      <c r="B557" s="35">
        <v>5</v>
      </c>
      <c r="C557" s="35">
        <v>5</v>
      </c>
      <c r="D557" s="36"/>
      <c r="E557" s="95"/>
      <c r="F557" s="95"/>
      <c r="G557" s="95"/>
      <c r="H557" s="276"/>
      <c r="I557" s="255"/>
    </row>
    <row r="558" spans="1:13" s="9" customFormat="1" ht="30" customHeight="1">
      <c r="A558" s="474" t="s">
        <v>290</v>
      </c>
      <c r="B558" s="474"/>
      <c r="C558" s="474"/>
      <c r="D558" s="59">
        <v>50</v>
      </c>
      <c r="E558" s="83"/>
      <c r="F558" s="83"/>
      <c r="G558" s="83"/>
      <c r="H558" s="238"/>
      <c r="I558" s="256" t="s">
        <v>291</v>
      </c>
      <c r="M558" s="1"/>
    </row>
    <row r="559" spans="1:9" s="9" customFormat="1" ht="30" customHeight="1">
      <c r="A559" s="56" t="s">
        <v>98</v>
      </c>
      <c r="B559" s="234">
        <f>C559*1.02</f>
        <v>25.5</v>
      </c>
      <c r="C559" s="60">
        <v>25</v>
      </c>
      <c r="D559" s="59"/>
      <c r="E559" s="83"/>
      <c r="F559" s="83"/>
      <c r="G559" s="83"/>
      <c r="H559" s="239"/>
      <c r="I559" s="254"/>
    </row>
    <row r="560" spans="1:12" s="9" customFormat="1" ht="30" customHeight="1">
      <c r="A560" s="56" t="s">
        <v>99</v>
      </c>
      <c r="B560" s="234">
        <f>C560*1.18</f>
        <v>29.5</v>
      </c>
      <c r="C560" s="60">
        <v>25</v>
      </c>
      <c r="D560" s="59"/>
      <c r="E560" s="83"/>
      <c r="F560" s="83"/>
      <c r="G560" s="83"/>
      <c r="H560" s="239"/>
      <c r="I560" s="254"/>
      <c r="J560" s="171"/>
      <c r="K560" s="323"/>
      <c r="L560" s="61"/>
    </row>
    <row r="561" spans="1:8" ht="30" customHeight="1">
      <c r="A561" s="56" t="s">
        <v>166</v>
      </c>
      <c r="B561" s="234">
        <f>C561*1.05</f>
        <v>26.25</v>
      </c>
      <c r="C561" s="60">
        <v>25</v>
      </c>
      <c r="D561" s="59"/>
      <c r="E561" s="342"/>
      <c r="F561" s="342"/>
      <c r="G561" s="342"/>
      <c r="H561" s="343"/>
    </row>
    <row r="562" spans="1:8" ht="30" customHeight="1">
      <c r="A562" s="56" t="s">
        <v>112</v>
      </c>
      <c r="B562" s="234">
        <f>C562*1.02</f>
        <v>25.5</v>
      </c>
      <c r="C562" s="60">
        <v>25</v>
      </c>
      <c r="D562" s="59"/>
      <c r="E562" s="342"/>
      <c r="F562" s="342"/>
      <c r="G562" s="342"/>
      <c r="H562" s="343"/>
    </row>
    <row r="563" spans="1:13" s="9" customFormat="1" ht="30" customHeight="1">
      <c r="A563" s="469" t="s">
        <v>239</v>
      </c>
      <c r="B563" s="469"/>
      <c r="C563" s="469"/>
      <c r="D563" s="21" t="s">
        <v>136</v>
      </c>
      <c r="E563" s="44">
        <v>0.3</v>
      </c>
      <c r="F563" s="44">
        <v>0</v>
      </c>
      <c r="G563" s="44">
        <v>15.2</v>
      </c>
      <c r="H563" s="43">
        <f>G563*4+F563*9+E563*4</f>
        <v>62</v>
      </c>
      <c r="I563" s="243" t="s">
        <v>240</v>
      </c>
      <c r="K563" s="313"/>
      <c r="M563" s="61"/>
    </row>
    <row r="564" spans="1:13" s="9" customFormat="1" ht="30" customHeight="1">
      <c r="A564" s="51" t="s">
        <v>110</v>
      </c>
      <c r="B564" s="5">
        <v>1</v>
      </c>
      <c r="C564" s="5">
        <v>1</v>
      </c>
      <c r="D564" s="147"/>
      <c r="E564" s="105"/>
      <c r="F564" s="105"/>
      <c r="G564" s="105"/>
      <c r="H564" s="84"/>
      <c r="I564" s="254"/>
      <c r="J564" s="61"/>
      <c r="K564" s="312"/>
      <c r="M564" s="61"/>
    </row>
    <row r="565" spans="1:12" s="9" customFormat="1" ht="30" customHeight="1">
      <c r="A565" s="53" t="s">
        <v>4</v>
      </c>
      <c r="B565" s="29">
        <v>15</v>
      </c>
      <c r="C565" s="29">
        <v>15</v>
      </c>
      <c r="D565" s="30"/>
      <c r="E565" s="105"/>
      <c r="F565" s="105"/>
      <c r="G565" s="105"/>
      <c r="H565" s="105"/>
      <c r="I565" s="254"/>
      <c r="J565" s="61"/>
      <c r="K565" s="312"/>
      <c r="L565" s="61"/>
    </row>
    <row r="566" spans="1:11" s="9" customFormat="1" ht="30" customHeight="1">
      <c r="A566" s="53" t="s">
        <v>135</v>
      </c>
      <c r="B566" s="29">
        <v>8</v>
      </c>
      <c r="C566" s="29">
        <v>7</v>
      </c>
      <c r="D566" s="30"/>
      <c r="E566" s="105"/>
      <c r="F566" s="105"/>
      <c r="G566" s="105"/>
      <c r="H566" s="105"/>
      <c r="I566" s="254"/>
      <c r="K566" s="313"/>
    </row>
    <row r="567" spans="1:8" ht="30" customHeight="1">
      <c r="A567" s="203" t="s">
        <v>26</v>
      </c>
      <c r="B567" s="36">
        <v>20</v>
      </c>
      <c r="C567" s="36">
        <v>20</v>
      </c>
      <c r="D567" s="23">
        <v>20</v>
      </c>
      <c r="E567" s="109">
        <v>0.7</v>
      </c>
      <c r="F567" s="109">
        <v>0.2</v>
      </c>
      <c r="G567" s="109">
        <v>9.4</v>
      </c>
      <c r="H567" s="238">
        <v>41.3</v>
      </c>
    </row>
    <row r="568" spans="1:12" s="9" customFormat="1" ht="30" customHeight="1">
      <c r="A568" s="476" t="s">
        <v>94</v>
      </c>
      <c r="B568" s="482"/>
      <c r="C568" s="482"/>
      <c r="D568" s="26">
        <v>150</v>
      </c>
      <c r="E568" s="45">
        <v>0.2</v>
      </c>
      <c r="F568" s="45">
        <v>0</v>
      </c>
      <c r="G568" s="45">
        <v>8.6</v>
      </c>
      <c r="H568" s="43">
        <f>E568*4+F568*9+G568*4</f>
        <v>35.199999999999996</v>
      </c>
      <c r="I568" s="256" t="s">
        <v>205</v>
      </c>
      <c r="K568" s="313"/>
      <c r="L568" s="61"/>
    </row>
    <row r="569" spans="1:12" s="9" customFormat="1" ht="30" customHeight="1">
      <c r="A569" s="485" t="s">
        <v>57</v>
      </c>
      <c r="B569" s="485"/>
      <c r="C569" s="485"/>
      <c r="D569" s="245">
        <f>D570+260+95+D627+D643</f>
        <v>765</v>
      </c>
      <c r="E569" s="99">
        <f>E570+E575+E613+E627+E643+E648+E650</f>
        <v>27.5</v>
      </c>
      <c r="F569" s="99">
        <f>F570+F575+F613+F627+F643+F648+F650</f>
        <v>28</v>
      </c>
      <c r="G569" s="99">
        <f>G570+G575+G613+G627+G643+G648+G650</f>
        <v>110.89999999999999</v>
      </c>
      <c r="H569" s="96">
        <f>H570+H575+H613+H627+H643+H648+H650</f>
        <v>804.8</v>
      </c>
      <c r="I569" s="254"/>
      <c r="K569" s="313"/>
      <c r="L569" s="61"/>
    </row>
    <row r="570" spans="1:9" ht="30" customHeight="1">
      <c r="A570" s="476" t="s">
        <v>281</v>
      </c>
      <c r="B570" s="476"/>
      <c r="C570" s="476"/>
      <c r="D570" s="23">
        <v>60</v>
      </c>
      <c r="E570" s="109">
        <v>0.6</v>
      </c>
      <c r="F570" s="109">
        <v>3.1</v>
      </c>
      <c r="G570" s="109">
        <v>3.5</v>
      </c>
      <c r="H570" s="238">
        <f>E570*4+F570*9+G570*4</f>
        <v>44.3</v>
      </c>
      <c r="I570" s="270" t="s">
        <v>282</v>
      </c>
    </row>
    <row r="571" spans="1:13" s="9" customFormat="1" ht="30" customHeight="1">
      <c r="A571" s="51" t="s">
        <v>17</v>
      </c>
      <c r="B571" s="35">
        <f>C571*1.25</f>
        <v>60</v>
      </c>
      <c r="C571" s="60">
        <v>48</v>
      </c>
      <c r="D571" s="224"/>
      <c r="E571" s="44"/>
      <c r="F571" s="44"/>
      <c r="G571" s="44"/>
      <c r="H571" s="274"/>
      <c r="I571" s="254"/>
      <c r="K571" s="313"/>
      <c r="L571" s="61"/>
      <c r="M571" s="61"/>
    </row>
    <row r="572" spans="1:13" s="9" customFormat="1" ht="30" customHeight="1">
      <c r="A572" s="51" t="s">
        <v>16</v>
      </c>
      <c r="B572" s="35">
        <f>C572*1.33</f>
        <v>63.84</v>
      </c>
      <c r="C572" s="60">
        <v>48</v>
      </c>
      <c r="D572" s="224"/>
      <c r="E572" s="44"/>
      <c r="F572" s="44"/>
      <c r="G572" s="44"/>
      <c r="H572" s="44"/>
      <c r="I572" s="254"/>
      <c r="K572" s="313"/>
      <c r="M572" s="61"/>
    </row>
    <row r="573" spans="1:13" s="9" customFormat="1" ht="30" customHeight="1">
      <c r="A573" s="51" t="s">
        <v>108</v>
      </c>
      <c r="B573" s="90">
        <f>C573*1.82</f>
        <v>21.84</v>
      </c>
      <c r="C573" s="60">
        <v>12</v>
      </c>
      <c r="D573" s="224"/>
      <c r="E573" s="44"/>
      <c r="F573" s="44"/>
      <c r="G573" s="44"/>
      <c r="H573" s="44"/>
      <c r="I573" s="254"/>
      <c r="K573" s="313"/>
      <c r="M573" s="61"/>
    </row>
    <row r="574" spans="1:11" s="9" customFormat="1" ht="30" customHeight="1">
      <c r="A574" s="56" t="s">
        <v>11</v>
      </c>
      <c r="B574" s="90">
        <v>3</v>
      </c>
      <c r="C574" s="60">
        <v>3</v>
      </c>
      <c r="D574" s="224"/>
      <c r="E574" s="44"/>
      <c r="F574" s="44"/>
      <c r="G574" s="44"/>
      <c r="H574" s="44"/>
      <c r="I574" s="254"/>
      <c r="K574" s="313"/>
    </row>
    <row r="575" spans="1:11" s="9" customFormat="1" ht="30" customHeight="1">
      <c r="A575" s="487" t="s">
        <v>303</v>
      </c>
      <c r="B575" s="487"/>
      <c r="C575" s="487"/>
      <c r="D575" s="34" t="s">
        <v>64</v>
      </c>
      <c r="E575" s="44">
        <v>7.1</v>
      </c>
      <c r="F575" s="44">
        <v>8.1</v>
      </c>
      <c r="G575" s="44">
        <v>13.5</v>
      </c>
      <c r="H575" s="43">
        <f>E575*4+F575*9+G575*4</f>
        <v>155.29999999999998</v>
      </c>
      <c r="I575" s="256" t="s">
        <v>283</v>
      </c>
      <c r="K575" s="313"/>
    </row>
    <row r="576" spans="1:11" s="9" customFormat="1" ht="30" customHeight="1">
      <c r="A576" s="55" t="s">
        <v>109</v>
      </c>
      <c r="B576" s="27">
        <v>29</v>
      </c>
      <c r="C576" s="35">
        <v>26</v>
      </c>
      <c r="D576" s="5"/>
      <c r="E576" s="95"/>
      <c r="F576" s="95"/>
      <c r="G576" s="95"/>
      <c r="H576" s="276"/>
      <c r="I576" s="254"/>
      <c r="K576" s="313"/>
    </row>
    <row r="577" spans="1:12" s="9" customFormat="1" ht="30" customHeight="1">
      <c r="A577" s="112" t="s">
        <v>123</v>
      </c>
      <c r="B577" s="48">
        <f>C577*1.04</f>
        <v>18.72</v>
      </c>
      <c r="C577" s="35">
        <v>18</v>
      </c>
      <c r="D577" s="219"/>
      <c r="E577" s="95"/>
      <c r="F577" s="95"/>
      <c r="G577" s="95"/>
      <c r="H577" s="95"/>
      <c r="I577" s="254"/>
      <c r="K577" s="313"/>
      <c r="L577" s="171"/>
    </row>
    <row r="578" spans="1:12" s="9" customFormat="1" ht="30" customHeight="1">
      <c r="A578" s="112" t="s">
        <v>125</v>
      </c>
      <c r="B578" s="48">
        <f>C578*1.048</f>
        <v>14.672</v>
      </c>
      <c r="C578" s="143">
        <v>14</v>
      </c>
      <c r="D578" s="219"/>
      <c r="E578" s="95"/>
      <c r="F578" s="95"/>
      <c r="G578" s="95"/>
      <c r="H578" s="87"/>
      <c r="I578" s="254"/>
      <c r="K578" s="313"/>
      <c r="L578" s="61"/>
    </row>
    <row r="579" spans="1:12" s="9" customFormat="1" ht="30" customHeight="1">
      <c r="A579" s="487" t="s">
        <v>284</v>
      </c>
      <c r="B579" s="487"/>
      <c r="C579" s="487"/>
      <c r="D579" s="23" t="s">
        <v>130</v>
      </c>
      <c r="E579" s="23">
        <v>6.4</v>
      </c>
      <c r="F579" s="23">
        <v>7.3</v>
      </c>
      <c r="G579" s="23">
        <v>13.5</v>
      </c>
      <c r="H579" s="43">
        <f>G579*4+F579*9+E579*4</f>
        <v>145.3</v>
      </c>
      <c r="I579" s="256" t="s">
        <v>283</v>
      </c>
      <c r="K579" s="313"/>
      <c r="L579" s="61"/>
    </row>
    <row r="580" spans="1:11" s="9" customFormat="1" ht="30" customHeight="1">
      <c r="A580" s="179" t="s">
        <v>220</v>
      </c>
      <c r="B580" s="156"/>
      <c r="C580" s="178">
        <v>15</v>
      </c>
      <c r="D580" s="178"/>
      <c r="E580" s="44"/>
      <c r="F580" s="274"/>
      <c r="G580" s="44"/>
      <c r="H580" s="43"/>
      <c r="I580" s="256" t="s">
        <v>221</v>
      </c>
      <c r="K580" s="313"/>
    </row>
    <row r="581" spans="1:12" s="9" customFormat="1" ht="30" customHeight="1">
      <c r="A581" s="86" t="s">
        <v>86</v>
      </c>
      <c r="B581" s="48">
        <f>C581*1.36</f>
        <v>23.12</v>
      </c>
      <c r="C581" s="35">
        <v>17</v>
      </c>
      <c r="D581" s="5"/>
      <c r="E581" s="95"/>
      <c r="F581" s="95"/>
      <c r="G581" s="95"/>
      <c r="H581" s="276"/>
      <c r="I581" s="254"/>
      <c r="K581" s="313"/>
      <c r="L581" s="61"/>
    </row>
    <row r="582" spans="1:13" s="9" customFormat="1" ht="30" customHeight="1">
      <c r="A582" s="86" t="s">
        <v>87</v>
      </c>
      <c r="B582" s="48">
        <f>C582*1.18</f>
        <v>20.06</v>
      </c>
      <c r="C582" s="35">
        <v>17</v>
      </c>
      <c r="D582" s="31"/>
      <c r="E582" s="85"/>
      <c r="F582" s="85"/>
      <c r="G582" s="85"/>
      <c r="H582" s="240"/>
      <c r="I582" s="254"/>
      <c r="K582" s="313"/>
      <c r="L582" s="61"/>
      <c r="M582" s="61"/>
    </row>
    <row r="583" spans="1:11" s="9" customFormat="1" ht="30" customHeight="1">
      <c r="A583" s="51" t="s">
        <v>18</v>
      </c>
      <c r="B583" s="87">
        <f>C583*1.19</f>
        <v>1.785</v>
      </c>
      <c r="C583" s="95">
        <v>1.5</v>
      </c>
      <c r="D583" s="149"/>
      <c r="E583" s="85"/>
      <c r="F583" s="85"/>
      <c r="G583" s="85"/>
      <c r="H583" s="240"/>
      <c r="I583" s="254"/>
      <c r="K583" s="313"/>
    </row>
    <row r="584" spans="1:12" s="9" customFormat="1" ht="30" customHeight="1">
      <c r="A584" s="51" t="s">
        <v>62</v>
      </c>
      <c r="B584" s="95">
        <v>1.5</v>
      </c>
      <c r="C584" s="95">
        <v>1.5</v>
      </c>
      <c r="D584" s="149"/>
      <c r="E584" s="85"/>
      <c r="F584" s="85"/>
      <c r="G584" s="85"/>
      <c r="H584" s="240"/>
      <c r="I584" s="255"/>
      <c r="K584" s="313"/>
      <c r="L584" s="61"/>
    </row>
    <row r="585" spans="1:12" s="9" customFormat="1" ht="30" customHeight="1">
      <c r="A585" s="51" t="s">
        <v>84</v>
      </c>
      <c r="B585" s="95">
        <v>1.2</v>
      </c>
      <c r="C585" s="95">
        <v>1.2</v>
      </c>
      <c r="D585" s="149"/>
      <c r="E585" s="85"/>
      <c r="F585" s="85"/>
      <c r="G585" s="85"/>
      <c r="H585" s="240"/>
      <c r="I585" s="254"/>
      <c r="K585" s="313"/>
      <c r="L585" s="61"/>
    </row>
    <row r="586" spans="1:12" s="9" customFormat="1" ht="30" customHeight="1">
      <c r="A586" s="222" t="s">
        <v>285</v>
      </c>
      <c r="B586" s="35"/>
      <c r="C586" s="20">
        <v>20</v>
      </c>
      <c r="D586" s="74"/>
      <c r="E586" s="106"/>
      <c r="F586" s="94"/>
      <c r="G586" s="94"/>
      <c r="H586" s="237"/>
      <c r="I586" s="256" t="s">
        <v>286</v>
      </c>
      <c r="K586" s="313"/>
      <c r="L586" s="61"/>
    </row>
    <row r="587" spans="1:11" s="9" customFormat="1" ht="30" customHeight="1">
      <c r="A587" s="51" t="s">
        <v>21</v>
      </c>
      <c r="B587" s="35">
        <v>18</v>
      </c>
      <c r="C587" s="29">
        <v>18</v>
      </c>
      <c r="D587" s="74"/>
      <c r="E587" s="106"/>
      <c r="F587" s="94"/>
      <c r="G587" s="94"/>
      <c r="H587" s="237"/>
      <c r="I587" s="254"/>
      <c r="K587" s="313"/>
    </row>
    <row r="588" spans="1:13" s="111" customFormat="1" ht="30" customHeight="1">
      <c r="A588" s="51" t="s">
        <v>137</v>
      </c>
      <c r="B588" s="40">
        <v>1.2</v>
      </c>
      <c r="C588" s="95">
        <v>1.2</v>
      </c>
      <c r="D588" s="74"/>
      <c r="E588" s="106"/>
      <c r="F588" s="94"/>
      <c r="G588" s="94"/>
      <c r="H588" s="237"/>
      <c r="I588" s="254"/>
      <c r="J588" s="9"/>
      <c r="K588" s="313"/>
      <c r="L588" s="61"/>
      <c r="M588" s="9"/>
    </row>
    <row r="589" spans="1:13" s="111" customFormat="1" ht="30" customHeight="1">
      <c r="A589" s="53" t="s">
        <v>84</v>
      </c>
      <c r="B589" s="35">
        <v>5</v>
      </c>
      <c r="C589" s="29">
        <v>5</v>
      </c>
      <c r="D589" s="74"/>
      <c r="E589" s="106"/>
      <c r="F589" s="94"/>
      <c r="G589" s="94"/>
      <c r="H589" s="237"/>
      <c r="I589" s="255"/>
      <c r="J589" s="9"/>
      <c r="K589" s="313"/>
      <c r="L589" s="9"/>
      <c r="M589" s="61"/>
    </row>
    <row r="590" spans="1:13" s="111" customFormat="1" ht="30" customHeight="1">
      <c r="A590" s="53" t="s">
        <v>62</v>
      </c>
      <c r="B590" s="40">
        <v>3.5</v>
      </c>
      <c r="C590" s="29">
        <v>3.5</v>
      </c>
      <c r="D590" s="74"/>
      <c r="E590" s="106"/>
      <c r="F590" s="94"/>
      <c r="G590" s="94"/>
      <c r="H590" s="237"/>
      <c r="I590" s="254"/>
      <c r="J590" s="9"/>
      <c r="K590" s="313"/>
      <c r="L590" s="61"/>
      <c r="M590" s="9"/>
    </row>
    <row r="591" spans="1:12" s="9" customFormat="1" ht="30" customHeight="1">
      <c r="A591" s="53" t="s">
        <v>53</v>
      </c>
      <c r="B591" s="40">
        <v>0.5</v>
      </c>
      <c r="C591" s="29">
        <v>0.5</v>
      </c>
      <c r="D591" s="119"/>
      <c r="E591" s="106"/>
      <c r="F591" s="94"/>
      <c r="G591" s="94"/>
      <c r="H591" s="237"/>
      <c r="I591" s="254"/>
      <c r="K591" s="313"/>
      <c r="L591" s="61"/>
    </row>
    <row r="592" spans="1:12" s="9" customFormat="1" ht="30" customHeight="1">
      <c r="A592" s="57" t="s">
        <v>95</v>
      </c>
      <c r="B592" s="35">
        <v>20</v>
      </c>
      <c r="C592" s="29">
        <v>20</v>
      </c>
      <c r="D592" s="74"/>
      <c r="E592" s="106"/>
      <c r="F592" s="94"/>
      <c r="G592" s="94"/>
      <c r="H592" s="237"/>
      <c r="I592" s="254"/>
      <c r="K592" s="313"/>
      <c r="L592" s="61"/>
    </row>
    <row r="593" spans="1:12" s="9" customFormat="1" ht="30" customHeight="1">
      <c r="A593" s="51" t="s">
        <v>60</v>
      </c>
      <c r="B593" s="40">
        <f>C593*1.25</f>
        <v>12.5</v>
      </c>
      <c r="C593" s="5">
        <f>+C595</f>
        <v>10</v>
      </c>
      <c r="D593" s="74"/>
      <c r="E593" s="95"/>
      <c r="F593" s="95"/>
      <c r="G593" s="94"/>
      <c r="H593" s="237"/>
      <c r="I593" s="254"/>
      <c r="K593" s="313"/>
      <c r="L593" s="61"/>
    </row>
    <row r="594" spans="1:12" s="9" customFormat="1" ht="30" customHeight="1">
      <c r="A594" s="51" t="s">
        <v>16</v>
      </c>
      <c r="B594" s="40">
        <f>C594*1.33</f>
        <v>13.3</v>
      </c>
      <c r="C594" s="5">
        <v>10</v>
      </c>
      <c r="D594" s="74"/>
      <c r="E594" s="95"/>
      <c r="F594" s="95"/>
      <c r="G594" s="94"/>
      <c r="H594" s="237"/>
      <c r="I594" s="254"/>
      <c r="K594" s="313"/>
      <c r="L594" s="61"/>
    </row>
    <row r="595" spans="1:12" s="9" customFormat="1" ht="30" customHeight="1">
      <c r="A595" s="51" t="s">
        <v>18</v>
      </c>
      <c r="B595" s="37">
        <f>C595*1.19</f>
        <v>11.899999999999999</v>
      </c>
      <c r="C595" s="5">
        <v>10</v>
      </c>
      <c r="D595" s="74"/>
      <c r="E595" s="95"/>
      <c r="F595" s="95"/>
      <c r="G595" s="94"/>
      <c r="H595" s="237"/>
      <c r="I595" s="254"/>
      <c r="K595" s="313"/>
      <c r="L595" s="61"/>
    </row>
    <row r="596" spans="1:12" s="9" customFormat="1" ht="30" customHeight="1">
      <c r="A596" s="51" t="s">
        <v>19</v>
      </c>
      <c r="B596" s="36">
        <v>5</v>
      </c>
      <c r="C596" s="36">
        <v>5</v>
      </c>
      <c r="D596" s="5"/>
      <c r="E596" s="95"/>
      <c r="F596" s="95"/>
      <c r="G596" s="94"/>
      <c r="H596" s="237"/>
      <c r="I596" s="255"/>
      <c r="K596" s="313"/>
      <c r="L596" s="111"/>
    </row>
    <row r="597" spans="1:12" s="9" customFormat="1" ht="30" customHeight="1">
      <c r="A597" s="53" t="s">
        <v>72</v>
      </c>
      <c r="B597" s="40">
        <v>0.2</v>
      </c>
      <c r="C597" s="40">
        <v>0.2</v>
      </c>
      <c r="D597" s="31"/>
      <c r="E597" s="85"/>
      <c r="F597" s="85"/>
      <c r="G597" s="85"/>
      <c r="H597" s="240"/>
      <c r="I597" s="255"/>
      <c r="K597" s="313"/>
      <c r="L597" s="111"/>
    </row>
    <row r="598" spans="1:12" s="9" customFormat="1" ht="30" customHeight="1">
      <c r="A598" s="476" t="s">
        <v>401</v>
      </c>
      <c r="B598" s="476"/>
      <c r="C598" s="476"/>
      <c r="D598" s="23" t="s">
        <v>229</v>
      </c>
      <c r="E598" s="109">
        <v>15.428571428571429</v>
      </c>
      <c r="F598" s="109">
        <v>8.742857142857142</v>
      </c>
      <c r="G598" s="109">
        <v>10.414285714285715</v>
      </c>
      <c r="H598" s="238">
        <f>G598*4+F598*9+E598*4</f>
        <v>182.05714285714285</v>
      </c>
      <c r="I598" s="414" t="s">
        <v>400</v>
      </c>
      <c r="K598" s="313"/>
      <c r="L598" s="111"/>
    </row>
    <row r="599" spans="1:12" s="9" customFormat="1" ht="30" customHeight="1">
      <c r="A599" s="55" t="s">
        <v>109</v>
      </c>
      <c r="B599" s="48">
        <f>C599*2.32</f>
        <v>167.04</v>
      </c>
      <c r="C599" s="415">
        <v>72</v>
      </c>
      <c r="D599" s="276"/>
      <c r="E599" s="95"/>
      <c r="F599" s="95"/>
      <c r="G599" s="95"/>
      <c r="H599" s="95"/>
      <c r="I599" s="416"/>
      <c r="K599" s="313"/>
      <c r="L599" s="61"/>
    </row>
    <row r="600" spans="1:13" s="162" customFormat="1" ht="30" customHeight="1">
      <c r="A600" s="112" t="s">
        <v>151</v>
      </c>
      <c r="B600" s="48">
        <f>C600*1.34</f>
        <v>96.48</v>
      </c>
      <c r="C600" s="415">
        <v>72</v>
      </c>
      <c r="D600" s="276"/>
      <c r="E600" s="95"/>
      <c r="F600" s="95"/>
      <c r="G600" s="95"/>
      <c r="H600" s="87"/>
      <c r="I600" s="417"/>
      <c r="J600" s="9"/>
      <c r="K600" s="313"/>
      <c r="L600" s="9"/>
      <c r="M600" s="9"/>
    </row>
    <row r="601" spans="1:11" s="9" customFormat="1" ht="30" customHeight="1">
      <c r="A601" s="112" t="s">
        <v>125</v>
      </c>
      <c r="B601" s="48">
        <f>C601*1.054</f>
        <v>75.888</v>
      </c>
      <c r="C601" s="415">
        <v>72</v>
      </c>
      <c r="D601" s="276"/>
      <c r="E601" s="95"/>
      <c r="F601" s="95"/>
      <c r="G601" s="95"/>
      <c r="H601" s="87"/>
      <c r="I601" s="417"/>
      <c r="K601" s="313"/>
    </row>
    <row r="602" spans="1:11" s="9" customFormat="1" ht="30" customHeight="1">
      <c r="A602" s="56" t="s">
        <v>10</v>
      </c>
      <c r="B602" s="90">
        <v>15</v>
      </c>
      <c r="C602" s="60">
        <v>15</v>
      </c>
      <c r="D602" s="276"/>
      <c r="E602" s="38"/>
      <c r="F602" s="41"/>
      <c r="G602" s="41"/>
      <c r="H602" s="37"/>
      <c r="I602" s="391"/>
      <c r="K602" s="313"/>
    </row>
    <row r="603" spans="1:13" s="9" customFormat="1" ht="30" customHeight="1">
      <c r="A603" s="56" t="s">
        <v>52</v>
      </c>
      <c r="B603" s="90">
        <v>13</v>
      </c>
      <c r="C603" s="60">
        <v>13</v>
      </c>
      <c r="D603" s="36"/>
      <c r="E603" s="38"/>
      <c r="F603" s="41"/>
      <c r="G603" s="41"/>
      <c r="H603" s="37"/>
      <c r="I603" s="391"/>
      <c r="J603" s="61"/>
      <c r="K603" s="312"/>
      <c r="L603" s="61"/>
      <c r="M603" s="61"/>
    </row>
    <row r="604" spans="1:8" ht="30" customHeight="1">
      <c r="A604" s="363" t="s">
        <v>38</v>
      </c>
      <c r="B604" s="364">
        <f>B603*460/1000</f>
        <v>5.98</v>
      </c>
      <c r="C604" s="364">
        <f>C603*460/1000</f>
        <v>5.98</v>
      </c>
      <c r="D604" s="38"/>
      <c r="E604" s="41"/>
      <c r="F604" s="41"/>
      <c r="G604" s="41"/>
      <c r="H604" s="36"/>
    </row>
    <row r="605" spans="1:8" ht="30" customHeight="1">
      <c r="A605" s="363" t="s">
        <v>39</v>
      </c>
      <c r="B605" s="364">
        <f>B603*120/1000</f>
        <v>1.56</v>
      </c>
      <c r="C605" s="364">
        <f>C603*120/1000</f>
        <v>1.56</v>
      </c>
      <c r="D605" s="38"/>
      <c r="E605" s="41"/>
      <c r="F605" s="41"/>
      <c r="G605" s="41"/>
      <c r="H605" s="36"/>
    </row>
    <row r="606" spans="1:12" ht="30" customHeight="1">
      <c r="A606" s="331" t="s">
        <v>76</v>
      </c>
      <c r="B606" s="365">
        <f>B603-B604</f>
        <v>7.02</v>
      </c>
      <c r="C606" s="365">
        <f>C603-C604</f>
        <v>7.02</v>
      </c>
      <c r="D606" s="38"/>
      <c r="E606" s="371"/>
      <c r="F606" s="371"/>
      <c r="G606" s="371"/>
      <c r="H606" s="372"/>
      <c r="L606" s="171"/>
    </row>
    <row r="607" spans="1:8" ht="30" customHeight="1">
      <c r="A607" s="331" t="s">
        <v>77</v>
      </c>
      <c r="B607" s="365">
        <f>B603-B605</f>
        <v>11.44</v>
      </c>
      <c r="C607" s="365">
        <f>C603-C605</f>
        <v>11.44</v>
      </c>
      <c r="D607" s="38"/>
      <c r="E607" s="371"/>
      <c r="F607" s="371"/>
      <c r="G607" s="371"/>
      <c r="H607" s="372"/>
    </row>
    <row r="608" spans="1:11" s="9" customFormat="1" ht="30" customHeight="1">
      <c r="A608" s="56" t="s">
        <v>84</v>
      </c>
      <c r="B608" s="90">
        <v>5</v>
      </c>
      <c r="C608" s="60">
        <v>5</v>
      </c>
      <c r="D608" s="276"/>
      <c r="E608" s="38"/>
      <c r="F608" s="41"/>
      <c r="G608" s="41"/>
      <c r="H608" s="37"/>
      <c r="I608" s="391"/>
      <c r="J608" s="61"/>
      <c r="K608" s="312"/>
    </row>
    <row r="609" spans="1:9" ht="30" customHeight="1">
      <c r="A609" s="56" t="s">
        <v>21</v>
      </c>
      <c r="B609" s="60">
        <v>9</v>
      </c>
      <c r="C609" s="60">
        <v>9</v>
      </c>
      <c r="D609" s="36"/>
      <c r="E609" s="234"/>
      <c r="F609" s="234"/>
      <c r="G609" s="234"/>
      <c r="H609" s="60"/>
      <c r="I609" s="418"/>
    </row>
    <row r="610" spans="1:9" ht="30" customHeight="1">
      <c r="A610" s="56" t="s">
        <v>11</v>
      </c>
      <c r="B610" s="60">
        <v>2</v>
      </c>
      <c r="C610" s="60">
        <v>2</v>
      </c>
      <c r="D610" s="36"/>
      <c r="E610" s="234"/>
      <c r="F610" s="234"/>
      <c r="G610" s="234"/>
      <c r="H610" s="60"/>
      <c r="I610" s="418"/>
    </row>
    <row r="611" spans="1:11" s="9" customFormat="1" ht="30" customHeight="1">
      <c r="A611" s="51" t="s">
        <v>37</v>
      </c>
      <c r="B611" s="5">
        <v>5</v>
      </c>
      <c r="C611" s="5">
        <v>5</v>
      </c>
      <c r="D611" s="178"/>
      <c r="E611" s="95"/>
      <c r="F611" s="95"/>
      <c r="G611" s="95"/>
      <c r="H611" s="276"/>
      <c r="I611" s="254"/>
      <c r="J611" s="111"/>
      <c r="K611" s="322"/>
    </row>
    <row r="612" spans="1:11" s="9" customFormat="1" ht="30" customHeight="1">
      <c r="A612" s="480" t="s">
        <v>69</v>
      </c>
      <c r="B612" s="480"/>
      <c r="C612" s="480"/>
      <c r="D612" s="480"/>
      <c r="E612" s="480"/>
      <c r="F612" s="480"/>
      <c r="G612" s="480"/>
      <c r="H612" s="480"/>
      <c r="I612" s="480"/>
      <c r="J612" s="111"/>
      <c r="K612" s="322"/>
    </row>
    <row r="613" spans="1:11" s="9" customFormat="1" ht="30" customHeight="1">
      <c r="A613" s="469" t="s">
        <v>232</v>
      </c>
      <c r="B613" s="469"/>
      <c r="C613" s="469"/>
      <c r="D613" s="21" t="s">
        <v>229</v>
      </c>
      <c r="E613" s="44">
        <v>13.3</v>
      </c>
      <c r="F613" s="44">
        <v>12.9</v>
      </c>
      <c r="G613" s="44">
        <v>10.8</v>
      </c>
      <c r="H613" s="43">
        <f>G613*4+F613*9+E613*4</f>
        <v>212.5</v>
      </c>
      <c r="I613" s="256" t="s">
        <v>227</v>
      </c>
      <c r="J613" s="111"/>
      <c r="K613" s="322"/>
    </row>
    <row r="614" spans="1:11" s="9" customFormat="1" ht="30" customHeight="1">
      <c r="A614" s="86" t="s">
        <v>86</v>
      </c>
      <c r="B614" s="48">
        <f>C614*1.36</f>
        <v>91.12</v>
      </c>
      <c r="C614" s="5">
        <v>67</v>
      </c>
      <c r="D614" s="36"/>
      <c r="E614" s="95"/>
      <c r="F614" s="44"/>
      <c r="G614" s="44"/>
      <c r="H614" s="43"/>
      <c r="I614" s="255"/>
      <c r="K614" s="313"/>
    </row>
    <row r="615" spans="1:11" s="9" customFormat="1" ht="30" customHeight="1">
      <c r="A615" s="86" t="s">
        <v>87</v>
      </c>
      <c r="B615" s="48">
        <f>C615*1.18</f>
        <v>79.06</v>
      </c>
      <c r="C615" s="35">
        <v>67</v>
      </c>
      <c r="D615" s="36"/>
      <c r="E615" s="44"/>
      <c r="F615" s="44"/>
      <c r="G615" s="44"/>
      <c r="H615" s="43"/>
      <c r="I615" s="255"/>
      <c r="K615" s="313"/>
    </row>
    <row r="616" spans="1:11" s="9" customFormat="1" ht="30" customHeight="1">
      <c r="A616" s="51" t="s">
        <v>10</v>
      </c>
      <c r="B616" s="5">
        <v>14</v>
      </c>
      <c r="C616" s="5">
        <v>14</v>
      </c>
      <c r="D616" s="36"/>
      <c r="E616" s="95"/>
      <c r="F616" s="44"/>
      <c r="G616" s="44"/>
      <c r="H616" s="43"/>
      <c r="I616" s="254"/>
      <c r="K616" s="313"/>
    </row>
    <row r="617" spans="1:13" s="9" customFormat="1" ht="30" customHeight="1">
      <c r="A617" s="53" t="s">
        <v>230</v>
      </c>
      <c r="B617" s="36">
        <v>11</v>
      </c>
      <c r="C617" s="36">
        <v>11</v>
      </c>
      <c r="D617" s="36"/>
      <c r="E617" s="41"/>
      <c r="F617" s="41"/>
      <c r="G617" s="41"/>
      <c r="H617" s="41"/>
      <c r="I617" s="255"/>
      <c r="J617" s="61"/>
      <c r="K617" s="312"/>
      <c r="L617" s="61"/>
      <c r="M617" s="61"/>
    </row>
    <row r="618" spans="1:11" s="9" customFormat="1" ht="30" customHeight="1">
      <c r="A618" s="58" t="s">
        <v>38</v>
      </c>
      <c r="B618" s="89">
        <f>B617*460/1000</f>
        <v>5.06</v>
      </c>
      <c r="C618" s="89">
        <f>C617*460/1000</f>
        <v>5.06</v>
      </c>
      <c r="D618" s="36"/>
      <c r="E618" s="95"/>
      <c r="F618" s="95"/>
      <c r="G618" s="95"/>
      <c r="H618" s="95"/>
      <c r="I618" s="254"/>
      <c r="K618" s="313"/>
    </row>
    <row r="619" spans="1:11" s="9" customFormat="1" ht="30" customHeight="1">
      <c r="A619" s="58" t="s">
        <v>39</v>
      </c>
      <c r="B619" s="89">
        <f>B617*120/1000</f>
        <v>1.32</v>
      </c>
      <c r="C619" s="89">
        <f>C617*120/1000</f>
        <v>1.32</v>
      </c>
      <c r="D619" s="36"/>
      <c r="E619" s="95"/>
      <c r="F619" s="95"/>
      <c r="G619" s="95"/>
      <c r="H619" s="95"/>
      <c r="I619" s="254"/>
      <c r="K619" s="313"/>
    </row>
    <row r="620" spans="1:11" s="9" customFormat="1" ht="30" customHeight="1">
      <c r="A620" s="181" t="s">
        <v>149</v>
      </c>
      <c r="B620" s="182">
        <f>B617-B618</f>
        <v>5.94</v>
      </c>
      <c r="C620" s="182">
        <f>C617-C618</f>
        <v>5.94</v>
      </c>
      <c r="D620" s="36"/>
      <c r="E620" s="95"/>
      <c r="F620" s="95"/>
      <c r="G620" s="95"/>
      <c r="H620" s="95"/>
      <c r="I620" s="254"/>
      <c r="K620" s="313"/>
    </row>
    <row r="621" spans="1:11" s="9" customFormat="1" ht="30" customHeight="1">
      <c r="A621" s="181" t="s">
        <v>150</v>
      </c>
      <c r="B621" s="182">
        <f>B617-B619</f>
        <v>9.68</v>
      </c>
      <c r="C621" s="182">
        <f>C617-C619</f>
        <v>9.68</v>
      </c>
      <c r="D621" s="36"/>
      <c r="E621" s="95"/>
      <c r="F621" s="95"/>
      <c r="G621" s="95"/>
      <c r="H621" s="95"/>
      <c r="I621" s="254"/>
      <c r="K621" s="313"/>
    </row>
    <row r="622" spans="1:11" s="9" customFormat="1" ht="30" customHeight="1">
      <c r="A622" s="53" t="s">
        <v>18</v>
      </c>
      <c r="B622" s="37">
        <f>C622*1.19</f>
        <v>8.33</v>
      </c>
      <c r="C622" s="36">
        <v>7</v>
      </c>
      <c r="D622" s="36"/>
      <c r="E622" s="95"/>
      <c r="F622" s="44"/>
      <c r="G622" s="44"/>
      <c r="H622" s="274"/>
      <c r="I622" s="254"/>
      <c r="K622" s="313"/>
    </row>
    <row r="623" spans="1:11" s="9" customFormat="1" ht="30" customHeight="1">
      <c r="A623" s="53" t="s">
        <v>84</v>
      </c>
      <c r="B623" s="225">
        <v>3.5</v>
      </c>
      <c r="C623" s="225">
        <v>3.5</v>
      </c>
      <c r="D623" s="36"/>
      <c r="E623" s="95"/>
      <c r="F623" s="95"/>
      <c r="G623" s="95"/>
      <c r="H623" s="248"/>
      <c r="I623" s="254"/>
      <c r="K623" s="313"/>
    </row>
    <row r="624" spans="1:11" s="9" customFormat="1" ht="30" customHeight="1">
      <c r="A624" s="53" t="s">
        <v>165</v>
      </c>
      <c r="B624" s="225">
        <v>7</v>
      </c>
      <c r="C624" s="225">
        <v>7</v>
      </c>
      <c r="D624" s="36"/>
      <c r="E624" s="95"/>
      <c r="F624" s="95"/>
      <c r="G624" s="95"/>
      <c r="H624" s="248"/>
      <c r="I624" s="254"/>
      <c r="K624" s="313"/>
    </row>
    <row r="625" spans="1:11" s="9" customFormat="1" ht="30" customHeight="1">
      <c r="A625" s="51" t="s">
        <v>11</v>
      </c>
      <c r="B625" s="5">
        <v>2</v>
      </c>
      <c r="C625" s="5">
        <v>2</v>
      </c>
      <c r="D625" s="36"/>
      <c r="E625" s="95"/>
      <c r="F625" s="44"/>
      <c r="G625" s="44"/>
      <c r="H625" s="43"/>
      <c r="I625" s="254"/>
      <c r="K625" s="313"/>
    </row>
    <row r="626" spans="1:13" s="9" customFormat="1" ht="30" customHeight="1">
      <c r="A626" s="51" t="s">
        <v>37</v>
      </c>
      <c r="B626" s="5">
        <v>5</v>
      </c>
      <c r="C626" s="5">
        <v>5</v>
      </c>
      <c r="D626" s="178"/>
      <c r="E626" s="95"/>
      <c r="F626" s="95"/>
      <c r="G626" s="95"/>
      <c r="H626" s="276"/>
      <c r="I626" s="254"/>
      <c r="K626" s="313"/>
      <c r="L626" s="61"/>
      <c r="M626" s="111"/>
    </row>
    <row r="627" spans="1:12" s="9" customFormat="1" ht="30" customHeight="1">
      <c r="A627" s="469" t="s">
        <v>287</v>
      </c>
      <c r="B627" s="482"/>
      <c r="C627" s="482"/>
      <c r="D627" s="21">
        <v>150</v>
      </c>
      <c r="E627" s="110">
        <v>2.8</v>
      </c>
      <c r="F627" s="110">
        <v>3</v>
      </c>
      <c r="G627" s="110">
        <v>18.9</v>
      </c>
      <c r="H627" s="43">
        <f>E627*4+F627*9+G627*4</f>
        <v>113.8</v>
      </c>
      <c r="I627" s="256" t="s">
        <v>288</v>
      </c>
      <c r="K627" s="313"/>
      <c r="L627" s="111"/>
    </row>
    <row r="628" spans="1:13" s="9" customFormat="1" ht="30" customHeight="1">
      <c r="A628" s="51" t="s">
        <v>55</v>
      </c>
      <c r="B628" s="35">
        <f>C628*1.25</f>
        <v>93.75</v>
      </c>
      <c r="C628" s="5">
        <v>75</v>
      </c>
      <c r="D628" s="5"/>
      <c r="E628" s="5"/>
      <c r="F628" s="5"/>
      <c r="G628" s="21"/>
      <c r="H628" s="21"/>
      <c r="I628" s="255"/>
      <c r="K628" s="313"/>
      <c r="L628" s="111"/>
      <c r="M628" s="1"/>
    </row>
    <row r="629" spans="1:13" s="9" customFormat="1" ht="30" customHeight="1">
      <c r="A629" s="51" t="s">
        <v>142</v>
      </c>
      <c r="B629" s="35">
        <f>C629*1.54</f>
        <v>46.2</v>
      </c>
      <c r="C629" s="5">
        <v>30</v>
      </c>
      <c r="D629" s="5"/>
      <c r="E629" s="5"/>
      <c r="F629" s="5"/>
      <c r="G629" s="5"/>
      <c r="H629" s="5"/>
      <c r="I629" s="255"/>
      <c r="K629" s="313"/>
      <c r="L629" s="61"/>
      <c r="M629" s="1"/>
    </row>
    <row r="630" spans="1:13" s="9" customFormat="1" ht="30" customHeight="1">
      <c r="A630" s="51" t="s">
        <v>343</v>
      </c>
      <c r="B630" s="35">
        <f>C630*1.49</f>
        <v>44.7</v>
      </c>
      <c r="C630" s="5">
        <v>30</v>
      </c>
      <c r="D630" s="5"/>
      <c r="E630" s="5"/>
      <c r="F630" s="5"/>
      <c r="G630" s="21"/>
      <c r="H630" s="21"/>
      <c r="I630" s="255"/>
      <c r="K630" s="313"/>
      <c r="M630" s="1"/>
    </row>
    <row r="631" spans="1:13" s="9" customFormat="1" ht="30" customHeight="1">
      <c r="A631" s="51" t="s">
        <v>344</v>
      </c>
      <c r="B631" s="141">
        <f>C631*1.33</f>
        <v>39.900000000000006</v>
      </c>
      <c r="C631" s="5">
        <v>30</v>
      </c>
      <c r="D631" s="5"/>
      <c r="E631" s="5"/>
      <c r="F631" s="5"/>
      <c r="G631" s="21"/>
      <c r="H631" s="21"/>
      <c r="I631" s="255"/>
      <c r="K631" s="313"/>
      <c r="L631" s="70"/>
      <c r="M631" s="1"/>
    </row>
    <row r="632" spans="1:13" s="9" customFormat="1" ht="30" customHeight="1">
      <c r="A632" s="51" t="s">
        <v>356</v>
      </c>
      <c r="B632" s="141">
        <f>C632*1.05</f>
        <v>31.5</v>
      </c>
      <c r="C632" s="5">
        <v>30</v>
      </c>
      <c r="D632" s="5"/>
      <c r="E632" s="5"/>
      <c r="F632" s="5"/>
      <c r="G632" s="21"/>
      <c r="H632" s="21"/>
      <c r="I632" s="255"/>
      <c r="K632" s="313"/>
      <c r="L632" s="172"/>
      <c r="M632" s="1"/>
    </row>
    <row r="633" spans="1:13" s="9" customFormat="1" ht="30" customHeight="1">
      <c r="A633" s="51" t="s">
        <v>60</v>
      </c>
      <c r="B633" s="35">
        <f>C633*1.25</f>
        <v>18.75</v>
      </c>
      <c r="C633" s="5">
        <v>15</v>
      </c>
      <c r="D633" s="5"/>
      <c r="E633" s="5"/>
      <c r="F633" s="5"/>
      <c r="G633" s="21"/>
      <c r="H633" s="21"/>
      <c r="I633" s="255"/>
      <c r="K633" s="313"/>
      <c r="L633" s="172"/>
      <c r="M633" s="63"/>
    </row>
    <row r="634" spans="1:13" s="9" customFormat="1" ht="30" customHeight="1">
      <c r="A634" s="51" t="s">
        <v>16</v>
      </c>
      <c r="B634" s="35">
        <f>C634*1.33</f>
        <v>19.950000000000003</v>
      </c>
      <c r="C634" s="5">
        <v>15</v>
      </c>
      <c r="D634" s="5"/>
      <c r="E634" s="5"/>
      <c r="F634" s="5"/>
      <c r="G634" s="21"/>
      <c r="H634" s="21"/>
      <c r="I634" s="255"/>
      <c r="K634" s="313"/>
      <c r="L634" s="15"/>
      <c r="M634" s="1"/>
    </row>
    <row r="635" spans="1:13" s="9" customFormat="1" ht="30" customHeight="1">
      <c r="A635" s="51" t="s">
        <v>12</v>
      </c>
      <c r="B635" s="35">
        <f>C635*1.33</f>
        <v>39.900000000000006</v>
      </c>
      <c r="C635" s="5">
        <v>30</v>
      </c>
      <c r="D635" s="5"/>
      <c r="E635" s="5"/>
      <c r="F635" s="5"/>
      <c r="G635" s="5"/>
      <c r="H635" s="5"/>
      <c r="I635" s="254"/>
      <c r="K635" s="313"/>
      <c r="M635" s="63"/>
    </row>
    <row r="636" spans="1:13" s="9" customFormat="1" ht="30" customHeight="1">
      <c r="A636" s="51" t="s">
        <v>13</v>
      </c>
      <c r="B636" s="35">
        <f>C636*1.43</f>
        <v>42.9</v>
      </c>
      <c r="C636" s="5">
        <v>30</v>
      </c>
      <c r="D636" s="5"/>
      <c r="E636" s="5"/>
      <c r="F636" s="5"/>
      <c r="G636" s="5"/>
      <c r="H636" s="5"/>
      <c r="I636" s="254"/>
      <c r="K636" s="313"/>
      <c r="M636" s="63"/>
    </row>
    <row r="637" spans="1:13" s="9" customFormat="1" ht="30" customHeight="1">
      <c r="A637" s="51" t="s">
        <v>14</v>
      </c>
      <c r="B637" s="35">
        <f>C637*1.54</f>
        <v>46.2</v>
      </c>
      <c r="C637" s="5">
        <v>30</v>
      </c>
      <c r="D637" s="5"/>
      <c r="E637" s="5"/>
      <c r="F637" s="5"/>
      <c r="G637" s="5"/>
      <c r="H637" s="5"/>
      <c r="I637" s="254"/>
      <c r="K637" s="313"/>
      <c r="M637" s="63"/>
    </row>
    <row r="638" spans="1:13" s="9" customFormat="1" ht="30" customHeight="1">
      <c r="A638" s="53" t="s">
        <v>15</v>
      </c>
      <c r="B638" s="35">
        <f>C638*1.67</f>
        <v>50.099999999999994</v>
      </c>
      <c r="C638" s="5">
        <v>30</v>
      </c>
      <c r="D638" s="5"/>
      <c r="E638" s="5"/>
      <c r="F638" s="5"/>
      <c r="G638" s="21"/>
      <c r="H638" s="21"/>
      <c r="I638" s="255"/>
      <c r="K638" s="313"/>
      <c r="M638" s="63"/>
    </row>
    <row r="639" spans="1:13" s="9" customFormat="1" ht="30" customHeight="1">
      <c r="A639" s="51" t="s">
        <v>18</v>
      </c>
      <c r="B639" s="35">
        <f>C639*1.19</f>
        <v>17.849999999999998</v>
      </c>
      <c r="C639" s="5">
        <v>15</v>
      </c>
      <c r="D639" s="5"/>
      <c r="E639" s="5"/>
      <c r="F639" s="5"/>
      <c r="G639" s="21"/>
      <c r="H639" s="21"/>
      <c r="I639" s="254"/>
      <c r="K639" s="313"/>
      <c r="M639" s="63"/>
    </row>
    <row r="640" spans="1:13" s="9" customFormat="1" ht="30" customHeight="1">
      <c r="A640" s="51" t="s">
        <v>11</v>
      </c>
      <c r="B640" s="35">
        <v>4</v>
      </c>
      <c r="C640" s="35">
        <v>4</v>
      </c>
      <c r="D640" s="5"/>
      <c r="E640" s="5"/>
      <c r="F640" s="5"/>
      <c r="G640" s="21"/>
      <c r="H640" s="21"/>
      <c r="I640" s="254"/>
      <c r="K640" s="313"/>
      <c r="M640" s="1"/>
    </row>
    <row r="641" spans="1:13" s="9" customFormat="1" ht="30" customHeight="1">
      <c r="A641" s="51" t="s">
        <v>56</v>
      </c>
      <c r="B641" s="35">
        <v>15</v>
      </c>
      <c r="C641" s="35">
        <v>15</v>
      </c>
      <c r="D641" s="5"/>
      <c r="E641" s="5"/>
      <c r="F641" s="5"/>
      <c r="G641" s="21"/>
      <c r="H641" s="21"/>
      <c r="I641" s="255"/>
      <c r="K641" s="313"/>
      <c r="M641" s="1"/>
    </row>
    <row r="642" spans="1:13" s="9" customFormat="1" ht="30" customHeight="1">
      <c r="A642" s="51" t="s">
        <v>21</v>
      </c>
      <c r="B642" s="5">
        <v>1.5</v>
      </c>
      <c r="C642" s="5">
        <v>1.5</v>
      </c>
      <c r="D642" s="5"/>
      <c r="E642" s="5"/>
      <c r="F642" s="5"/>
      <c r="G642" s="21"/>
      <c r="H642" s="21"/>
      <c r="I642" s="255"/>
      <c r="K642" s="313"/>
      <c r="M642" s="63"/>
    </row>
    <row r="643" spans="1:13" ht="30" customHeight="1">
      <c r="A643" s="332" t="s">
        <v>218</v>
      </c>
      <c r="B643" s="23">
        <v>200</v>
      </c>
      <c r="C643" s="23">
        <v>200</v>
      </c>
      <c r="D643" s="23">
        <v>200</v>
      </c>
      <c r="E643" s="109">
        <v>0.5</v>
      </c>
      <c r="F643" s="109">
        <v>0.1</v>
      </c>
      <c r="G643" s="109">
        <v>28</v>
      </c>
      <c r="H643" s="238">
        <f>G643*4+F643*9+E643*4</f>
        <v>114.9</v>
      </c>
      <c r="I643" s="243" t="s">
        <v>219</v>
      </c>
      <c r="M643" s="63"/>
    </row>
    <row r="644" spans="1:13" ht="30" customHeight="1">
      <c r="A644" s="473" t="s">
        <v>69</v>
      </c>
      <c r="B644" s="473"/>
      <c r="C644" s="473"/>
      <c r="D644" s="473"/>
      <c r="E644" s="473"/>
      <c r="F644" s="473"/>
      <c r="G644" s="473"/>
      <c r="H644" s="473"/>
      <c r="M644" s="63"/>
    </row>
    <row r="645" spans="1:13" s="9" customFormat="1" ht="30" customHeight="1">
      <c r="A645" s="481" t="s">
        <v>289</v>
      </c>
      <c r="B645" s="481"/>
      <c r="C645" s="481"/>
      <c r="D645" s="26">
        <v>200</v>
      </c>
      <c r="E645" s="45">
        <v>0.9</v>
      </c>
      <c r="F645" s="45">
        <v>0</v>
      </c>
      <c r="G645" s="45">
        <v>28.7</v>
      </c>
      <c r="H645" s="43">
        <f>E645*4+F645*9+G645*4</f>
        <v>118.39999999999999</v>
      </c>
      <c r="I645" s="243" t="s">
        <v>477</v>
      </c>
      <c r="K645" s="313"/>
      <c r="M645" s="1"/>
    </row>
    <row r="646" spans="1:13" s="9" customFormat="1" ht="30" customHeight="1">
      <c r="A646" s="53" t="s">
        <v>121</v>
      </c>
      <c r="B646" s="36">
        <v>25</v>
      </c>
      <c r="C646" s="36">
        <v>25</v>
      </c>
      <c r="D646" s="36"/>
      <c r="E646" s="95"/>
      <c r="F646" s="95"/>
      <c r="G646" s="95"/>
      <c r="H646" s="95"/>
      <c r="I646" s="254"/>
      <c r="K646" s="313"/>
      <c r="M646" s="1"/>
    </row>
    <row r="647" spans="1:11" s="9" customFormat="1" ht="30" customHeight="1">
      <c r="A647" s="53" t="s">
        <v>4</v>
      </c>
      <c r="B647" s="36">
        <v>15</v>
      </c>
      <c r="C647" s="36">
        <v>15</v>
      </c>
      <c r="D647" s="36"/>
      <c r="E647" s="233"/>
      <c r="F647" s="233"/>
      <c r="G647" s="233"/>
      <c r="H647" s="249"/>
      <c r="I647" s="254"/>
      <c r="K647" s="313"/>
    </row>
    <row r="648" spans="1:8" ht="30" customHeight="1">
      <c r="A648" s="330" t="s">
        <v>20</v>
      </c>
      <c r="B648" s="36">
        <v>40</v>
      </c>
      <c r="C648" s="36">
        <v>40</v>
      </c>
      <c r="D648" s="23">
        <v>40</v>
      </c>
      <c r="E648" s="109">
        <v>1.8</v>
      </c>
      <c r="F648" s="109">
        <v>0.4</v>
      </c>
      <c r="G648" s="109">
        <v>17.4</v>
      </c>
      <c r="H648" s="238">
        <v>82</v>
      </c>
    </row>
    <row r="649" spans="1:11" s="9" customFormat="1" ht="30" customHeight="1">
      <c r="A649" s="483" t="s">
        <v>74</v>
      </c>
      <c r="B649" s="482"/>
      <c r="C649" s="482"/>
      <c r="D649" s="77">
        <v>40</v>
      </c>
      <c r="E649" s="95"/>
      <c r="F649" s="95"/>
      <c r="G649" s="95"/>
      <c r="H649" s="95"/>
      <c r="I649" s="254"/>
      <c r="K649" s="313"/>
    </row>
    <row r="650" spans="1:8" ht="30" customHeight="1">
      <c r="A650" s="203" t="s">
        <v>26</v>
      </c>
      <c r="B650" s="36">
        <v>40</v>
      </c>
      <c r="C650" s="36">
        <v>40</v>
      </c>
      <c r="D650" s="23">
        <v>40</v>
      </c>
      <c r="E650" s="109">
        <v>1.4</v>
      </c>
      <c r="F650" s="109">
        <v>0.4</v>
      </c>
      <c r="G650" s="109">
        <v>18.8</v>
      </c>
      <c r="H650" s="238">
        <v>82</v>
      </c>
    </row>
    <row r="651" spans="1:8" ht="30" customHeight="1">
      <c r="A651" s="472" t="s">
        <v>24</v>
      </c>
      <c r="B651" s="472"/>
      <c r="C651" s="472"/>
      <c r="D651" s="472"/>
      <c r="E651" s="359">
        <f>E569+E514</f>
        <v>47</v>
      </c>
      <c r="F651" s="359">
        <f>F569+F514</f>
        <v>49.4</v>
      </c>
      <c r="G651" s="359">
        <f>G569+G514</f>
        <v>182</v>
      </c>
      <c r="H651" s="358">
        <f>H569+H514</f>
        <v>1358.8999999999999</v>
      </c>
    </row>
    <row r="652" spans="1:11" s="9" customFormat="1" ht="30" customHeight="1">
      <c r="A652" s="478" t="s">
        <v>450</v>
      </c>
      <c r="B652" s="478"/>
      <c r="C652" s="478"/>
      <c r="D652" s="478"/>
      <c r="E652" s="478"/>
      <c r="F652" s="478"/>
      <c r="G652" s="478"/>
      <c r="H652" s="478"/>
      <c r="I652" s="478"/>
      <c r="K652" s="313"/>
    </row>
    <row r="653" spans="1:11" s="9" customFormat="1" ht="30" customHeight="1">
      <c r="A653" s="470" t="s">
        <v>0</v>
      </c>
      <c r="B653" s="471" t="s">
        <v>6</v>
      </c>
      <c r="C653" s="471" t="s">
        <v>7</v>
      </c>
      <c r="D653" s="470" t="s">
        <v>5</v>
      </c>
      <c r="E653" s="470"/>
      <c r="F653" s="470"/>
      <c r="G653" s="470"/>
      <c r="H653" s="470"/>
      <c r="I653" s="470"/>
      <c r="K653" s="313"/>
    </row>
    <row r="654" spans="1:13" s="9" customFormat="1" ht="30" customHeight="1">
      <c r="A654" s="470"/>
      <c r="B654" s="471"/>
      <c r="C654" s="471"/>
      <c r="D654" s="135" t="s">
        <v>8</v>
      </c>
      <c r="E654" s="281" t="s">
        <v>1</v>
      </c>
      <c r="F654" s="281" t="s">
        <v>2</v>
      </c>
      <c r="G654" s="281" t="s">
        <v>9</v>
      </c>
      <c r="H654" s="280" t="s">
        <v>3</v>
      </c>
      <c r="I654" s="282" t="s">
        <v>190</v>
      </c>
      <c r="K654" s="313"/>
      <c r="M654" s="61"/>
    </row>
    <row r="655" spans="1:12" s="9" customFormat="1" ht="30" customHeight="1">
      <c r="A655" s="485" t="s">
        <v>105</v>
      </c>
      <c r="B655" s="485"/>
      <c r="C655" s="485"/>
      <c r="D655" s="245">
        <f>D659+40+D677+D681</f>
        <v>600</v>
      </c>
      <c r="E655" s="99">
        <f>E659+E656+E677++E680+E681</f>
        <v>19.999999999999996</v>
      </c>
      <c r="F655" s="99">
        <f>F659+F656+F677++F680+F681</f>
        <v>19.599999999999998</v>
      </c>
      <c r="G655" s="99">
        <f>G659+G656+G677++G680+G681</f>
        <v>68.6</v>
      </c>
      <c r="H655" s="96">
        <f>H659+H656+H677++H680+H681</f>
        <v>534.5</v>
      </c>
      <c r="I655" s="254"/>
      <c r="K655" s="321" t="s">
        <v>46</v>
      </c>
      <c r="L655" s="61"/>
    </row>
    <row r="656" spans="1:12" s="9" customFormat="1" ht="30" customHeight="1">
      <c r="A656" s="483" t="s">
        <v>313</v>
      </c>
      <c r="B656" s="483"/>
      <c r="C656" s="483"/>
      <c r="D656" s="274" t="s">
        <v>117</v>
      </c>
      <c r="E656" s="44">
        <v>1.9</v>
      </c>
      <c r="F656" s="44">
        <v>0.4</v>
      </c>
      <c r="G656" s="44">
        <v>27.7</v>
      </c>
      <c r="H656" s="43">
        <f>G656*4+F656*9+E656*4</f>
        <v>121.99999999999999</v>
      </c>
      <c r="I656" s="223" t="s">
        <v>314</v>
      </c>
      <c r="K656" s="301" t="s">
        <v>26</v>
      </c>
      <c r="L656" s="9">
        <f>D739+C680</f>
        <v>60</v>
      </c>
    </row>
    <row r="657" spans="1:12" s="9" customFormat="1" ht="30" customHeight="1">
      <c r="A657" s="56" t="s">
        <v>128</v>
      </c>
      <c r="B657" s="36">
        <v>20</v>
      </c>
      <c r="C657" s="36">
        <v>20</v>
      </c>
      <c r="D657" s="26"/>
      <c r="E657" s="45"/>
      <c r="F657" s="45"/>
      <c r="G657" s="45"/>
      <c r="H657" s="43"/>
      <c r="I657" s="255"/>
      <c r="K657" s="301" t="s">
        <v>126</v>
      </c>
      <c r="L657" s="9">
        <f>D737+C657</f>
        <v>70</v>
      </c>
    </row>
    <row r="658" spans="1:12" ht="30" customHeight="1">
      <c r="A658" s="56" t="s">
        <v>315</v>
      </c>
      <c r="B658" s="36">
        <v>20.4</v>
      </c>
      <c r="C658" s="36">
        <v>20</v>
      </c>
      <c r="D658" s="36"/>
      <c r="E658" s="109"/>
      <c r="F658" s="109"/>
      <c r="G658" s="109"/>
      <c r="H658" s="109"/>
      <c r="I658" s="341"/>
      <c r="K658" s="301" t="s">
        <v>155</v>
      </c>
      <c r="L658" s="62">
        <f>C717</f>
        <v>2</v>
      </c>
    </row>
    <row r="659" spans="1:12" s="9" customFormat="1" ht="30" customHeight="1">
      <c r="A659" s="476" t="s">
        <v>268</v>
      </c>
      <c r="B659" s="482"/>
      <c r="C659" s="482"/>
      <c r="D659" s="23">
        <v>200</v>
      </c>
      <c r="E659" s="44">
        <v>16.8</v>
      </c>
      <c r="F659" s="44">
        <v>18.9</v>
      </c>
      <c r="G659" s="44">
        <v>4.6</v>
      </c>
      <c r="H659" s="43">
        <f>G659*4+F659*9+E659*4</f>
        <v>255.7</v>
      </c>
      <c r="I659" s="256" t="s">
        <v>266</v>
      </c>
      <c r="K659" s="301" t="s">
        <v>66</v>
      </c>
      <c r="L659" s="17">
        <f>C731</f>
        <v>54</v>
      </c>
    </row>
    <row r="660" spans="1:12" s="9" customFormat="1" ht="30" customHeight="1">
      <c r="A660" s="53" t="s">
        <v>84</v>
      </c>
      <c r="B660" s="37">
        <v>125</v>
      </c>
      <c r="C660" s="37">
        <v>125</v>
      </c>
      <c r="D660" s="36"/>
      <c r="E660" s="95"/>
      <c r="F660" s="95"/>
      <c r="G660" s="95"/>
      <c r="H660" s="95"/>
      <c r="I660" s="254"/>
      <c r="K660" s="301" t="s">
        <v>65</v>
      </c>
      <c r="L660" s="17"/>
    </row>
    <row r="661" spans="1:13" s="9" customFormat="1" ht="30" customHeight="1">
      <c r="A661" s="53" t="s">
        <v>52</v>
      </c>
      <c r="B661" s="37">
        <v>47</v>
      </c>
      <c r="C661" s="37">
        <v>47</v>
      </c>
      <c r="D661" s="36"/>
      <c r="E661" s="41"/>
      <c r="F661" s="41"/>
      <c r="G661" s="41"/>
      <c r="H661" s="36"/>
      <c r="I661" s="255"/>
      <c r="J661" s="61"/>
      <c r="K661" s="301" t="s">
        <v>27</v>
      </c>
      <c r="L661" s="62">
        <f>C695</f>
        <v>100</v>
      </c>
      <c r="M661" s="61"/>
    </row>
    <row r="662" spans="1:13" s="9" customFormat="1" ht="30" customHeight="1">
      <c r="A662" s="58" t="s">
        <v>38</v>
      </c>
      <c r="B662" s="89">
        <f>B661*460/1000</f>
        <v>21.62</v>
      </c>
      <c r="C662" s="89">
        <f>C661*460/1000</f>
        <v>21.62</v>
      </c>
      <c r="D662" s="136"/>
      <c r="E662" s="44"/>
      <c r="F662" s="44"/>
      <c r="G662" s="44"/>
      <c r="H662" s="43"/>
      <c r="I662" s="255"/>
      <c r="K662" s="301" t="s">
        <v>201</v>
      </c>
      <c r="L662" s="17">
        <f>C670+C684+C687+C693+C699+C701+C707+C710+C715+C716+C718+C719</f>
        <v>161.1</v>
      </c>
      <c r="M662" s="111"/>
    </row>
    <row r="663" spans="1:13" s="9" customFormat="1" ht="30" customHeight="1">
      <c r="A663" s="58" t="s">
        <v>39</v>
      </c>
      <c r="B663" s="89">
        <f>B661*120/1000</f>
        <v>5.64</v>
      </c>
      <c r="C663" s="89">
        <f>C661*120/1000</f>
        <v>5.64</v>
      </c>
      <c r="D663" s="136"/>
      <c r="E663" s="44"/>
      <c r="F663" s="44"/>
      <c r="G663" s="44"/>
      <c r="H663" s="43"/>
      <c r="I663" s="254"/>
      <c r="K663" s="301" t="s">
        <v>28</v>
      </c>
      <c r="L663" s="9">
        <f>D681+C735</f>
        <v>185</v>
      </c>
      <c r="M663" s="111"/>
    </row>
    <row r="664" spans="1:11" s="9" customFormat="1" ht="30" customHeight="1">
      <c r="A664" s="181" t="s">
        <v>149</v>
      </c>
      <c r="B664" s="182">
        <f>B661-B662</f>
        <v>25.38</v>
      </c>
      <c r="C664" s="182">
        <f>C661-C662</f>
        <v>25.38</v>
      </c>
      <c r="D664" s="183"/>
      <c r="E664" s="184"/>
      <c r="F664" s="184"/>
      <c r="G664" s="184"/>
      <c r="H664" s="246"/>
      <c r="I664" s="254"/>
      <c r="K664" s="301" t="s">
        <v>170</v>
      </c>
    </row>
    <row r="665" spans="1:12" s="9" customFormat="1" ht="30" customHeight="1">
      <c r="A665" s="181" t="s">
        <v>150</v>
      </c>
      <c r="B665" s="182">
        <f>B661-B663</f>
        <v>41.36</v>
      </c>
      <c r="C665" s="182">
        <f>C661-C663</f>
        <v>41.36</v>
      </c>
      <c r="D665" s="183"/>
      <c r="E665" s="184"/>
      <c r="F665" s="184"/>
      <c r="G665" s="184"/>
      <c r="H665" s="246"/>
      <c r="I665" s="254"/>
      <c r="J665" s="61"/>
      <c r="K665" s="301" t="s">
        <v>202</v>
      </c>
      <c r="L665" s="170">
        <f>C736+C679</f>
        <v>27</v>
      </c>
    </row>
    <row r="666" spans="1:11" s="9" customFormat="1" ht="30" customHeight="1">
      <c r="A666" s="53" t="s">
        <v>11</v>
      </c>
      <c r="B666" s="36">
        <v>3</v>
      </c>
      <c r="C666" s="36">
        <v>3</v>
      </c>
      <c r="D666" s="36"/>
      <c r="E666" s="95"/>
      <c r="F666" s="95"/>
      <c r="G666" s="95"/>
      <c r="H666" s="276"/>
      <c r="I666" s="254"/>
      <c r="K666" s="301" t="s">
        <v>357</v>
      </c>
    </row>
    <row r="667" spans="1:12" s="9" customFormat="1" ht="30" customHeight="1">
      <c r="A667" s="53" t="s">
        <v>113</v>
      </c>
      <c r="B667" s="36"/>
      <c r="C667" s="36">
        <v>165</v>
      </c>
      <c r="D667" s="36"/>
      <c r="E667" s="95"/>
      <c r="F667" s="95"/>
      <c r="G667" s="95"/>
      <c r="H667" s="276"/>
      <c r="I667" s="254"/>
      <c r="K667" s="315" t="s">
        <v>29</v>
      </c>
      <c r="L667" s="9">
        <f>C658</f>
        <v>20</v>
      </c>
    </row>
    <row r="668" spans="1:12" s="9" customFormat="1" ht="30" customHeight="1">
      <c r="A668" s="53" t="s">
        <v>37</v>
      </c>
      <c r="B668" s="36">
        <v>5</v>
      </c>
      <c r="C668" s="36">
        <v>5</v>
      </c>
      <c r="D668" s="36"/>
      <c r="E668" s="95"/>
      <c r="F668" s="95"/>
      <c r="G668" s="44"/>
      <c r="H668" s="274"/>
      <c r="I668" s="254"/>
      <c r="K668" s="301" t="s">
        <v>70</v>
      </c>
      <c r="L668" s="166"/>
    </row>
    <row r="669" spans="1:11" s="9" customFormat="1" ht="30" customHeight="1">
      <c r="A669" s="121" t="s">
        <v>267</v>
      </c>
      <c r="B669" s="36"/>
      <c r="C669" s="36"/>
      <c r="D669" s="23">
        <v>30</v>
      </c>
      <c r="E669" s="95"/>
      <c r="F669" s="95"/>
      <c r="G669" s="44"/>
      <c r="H669" s="274"/>
      <c r="I669" s="256" t="s">
        <v>269</v>
      </c>
      <c r="K669" s="301" t="s">
        <v>182</v>
      </c>
    </row>
    <row r="670" spans="1:11" s="9" customFormat="1" ht="30" customHeight="1">
      <c r="A670" s="57" t="s">
        <v>50</v>
      </c>
      <c r="B670" s="49">
        <f>C670*1.54</f>
        <v>46.2</v>
      </c>
      <c r="C670" s="150">
        <v>30</v>
      </c>
      <c r="D670" s="150"/>
      <c r="E670" s="108"/>
      <c r="F670" s="108"/>
      <c r="G670" s="108"/>
      <c r="H670" s="88"/>
      <c r="I670" s="254"/>
      <c r="K670" s="301" t="s">
        <v>183</v>
      </c>
    </row>
    <row r="671" spans="1:12" s="9" customFormat="1" ht="30" customHeight="1">
      <c r="A671" s="57" t="s">
        <v>350</v>
      </c>
      <c r="B671" s="49">
        <f>C671*1.05</f>
        <v>31.5</v>
      </c>
      <c r="C671" s="150">
        <v>30</v>
      </c>
      <c r="D671" s="150"/>
      <c r="E671" s="108"/>
      <c r="F671" s="108"/>
      <c r="G671" s="108"/>
      <c r="H671" s="88"/>
      <c r="I671" s="254"/>
      <c r="K671" s="316" t="s">
        <v>30</v>
      </c>
      <c r="L671" s="9">
        <f>C678</f>
        <v>1</v>
      </c>
    </row>
    <row r="672" spans="1:12" s="9" customFormat="1" ht="30" customHeight="1">
      <c r="A672" s="151" t="s">
        <v>114</v>
      </c>
      <c r="B672" s="49">
        <f>C672*1.67</f>
        <v>50.099999999999994</v>
      </c>
      <c r="C672" s="150">
        <v>30</v>
      </c>
      <c r="D672" s="150"/>
      <c r="E672" s="108"/>
      <c r="F672" s="108"/>
      <c r="G672" s="108"/>
      <c r="H672" s="88"/>
      <c r="I672" s="254"/>
      <c r="K672" s="301" t="s">
        <v>172</v>
      </c>
      <c r="L672" s="17"/>
    </row>
    <row r="673" spans="1:12" s="9" customFormat="1" ht="30" customHeight="1">
      <c r="A673" s="468" t="s">
        <v>69</v>
      </c>
      <c r="B673" s="468"/>
      <c r="C673" s="468"/>
      <c r="D673" s="468"/>
      <c r="E673" s="468"/>
      <c r="F673" s="468"/>
      <c r="G673" s="468"/>
      <c r="H673" s="468"/>
      <c r="I673" s="468"/>
      <c r="K673" s="301" t="s">
        <v>174</v>
      </c>
      <c r="L673" s="17">
        <f>C712</f>
        <v>69</v>
      </c>
    </row>
    <row r="674" spans="1:11" s="9" customFormat="1" ht="30" customHeight="1">
      <c r="A674" s="476" t="s">
        <v>359</v>
      </c>
      <c r="B674" s="476"/>
      <c r="C674" s="476"/>
      <c r="D674" s="26">
        <v>30</v>
      </c>
      <c r="E674" s="45"/>
      <c r="F674" s="45"/>
      <c r="G674" s="45"/>
      <c r="H674" s="43"/>
      <c r="I674" s="226" t="s">
        <v>358</v>
      </c>
      <c r="K674" s="301" t="s">
        <v>173</v>
      </c>
    </row>
    <row r="675" spans="1:12" ht="30" customHeight="1">
      <c r="A675" s="56" t="s">
        <v>337</v>
      </c>
      <c r="B675" s="41">
        <f>C675*1.05</f>
        <v>36.75</v>
      </c>
      <c r="C675" s="36">
        <v>35</v>
      </c>
      <c r="D675" s="36"/>
      <c r="E675" s="41"/>
      <c r="F675" s="41"/>
      <c r="G675" s="41"/>
      <c r="H675" s="37"/>
      <c r="I675" s="263"/>
      <c r="K675" s="301" t="s">
        <v>175</v>
      </c>
      <c r="L675" s="62">
        <f>C704+C705</f>
        <v>68</v>
      </c>
    </row>
    <row r="676" spans="1:12" ht="30" customHeight="1">
      <c r="A676" s="56" t="s">
        <v>354</v>
      </c>
      <c r="B676" s="41">
        <f>C676*1.05</f>
        <v>36.75</v>
      </c>
      <c r="C676" s="36">
        <v>35</v>
      </c>
      <c r="D676" s="36"/>
      <c r="E676" s="41"/>
      <c r="F676" s="41"/>
      <c r="G676" s="41"/>
      <c r="H676" s="37"/>
      <c r="I676" s="263"/>
      <c r="K676" s="305" t="s">
        <v>80</v>
      </c>
      <c r="L676" s="62">
        <f>C661</f>
        <v>47</v>
      </c>
    </row>
    <row r="677" spans="1:12" s="9" customFormat="1" ht="30" customHeight="1">
      <c r="A677" s="204" t="s">
        <v>225</v>
      </c>
      <c r="B677" s="5"/>
      <c r="C677" s="5"/>
      <c r="D677" s="21">
        <v>200</v>
      </c>
      <c r="E677" s="21">
        <v>0.2</v>
      </c>
      <c r="F677" s="110">
        <v>0</v>
      </c>
      <c r="G677" s="21">
        <v>11.9</v>
      </c>
      <c r="H677" s="21">
        <v>53</v>
      </c>
      <c r="I677" s="256" t="s">
        <v>226</v>
      </c>
      <c r="K677" s="307" t="s">
        <v>176</v>
      </c>
      <c r="L677" s="62"/>
    </row>
    <row r="678" spans="1:11" s="9" customFormat="1" ht="30" customHeight="1">
      <c r="A678" s="51" t="s">
        <v>110</v>
      </c>
      <c r="B678" s="5">
        <v>1</v>
      </c>
      <c r="C678" s="5">
        <v>1</v>
      </c>
      <c r="D678" s="5"/>
      <c r="E678" s="5"/>
      <c r="F678" s="5"/>
      <c r="G678" s="5"/>
      <c r="H678" s="5"/>
      <c r="I678" s="255"/>
      <c r="K678" s="301" t="s">
        <v>177</v>
      </c>
    </row>
    <row r="679" spans="1:11" s="9" customFormat="1" ht="30" customHeight="1">
      <c r="A679" s="51" t="s">
        <v>4</v>
      </c>
      <c r="B679" s="5">
        <v>12</v>
      </c>
      <c r="C679" s="5">
        <v>12</v>
      </c>
      <c r="D679" s="5"/>
      <c r="E679" s="5"/>
      <c r="F679" s="5"/>
      <c r="G679" s="43"/>
      <c r="H679" s="274"/>
      <c r="I679" s="255"/>
      <c r="K679" s="301" t="s">
        <v>31</v>
      </c>
    </row>
    <row r="680" spans="1:11" ht="30" customHeight="1">
      <c r="A680" s="203" t="s">
        <v>26</v>
      </c>
      <c r="B680" s="36">
        <v>20</v>
      </c>
      <c r="C680" s="36">
        <v>20</v>
      </c>
      <c r="D680" s="23">
        <v>20</v>
      </c>
      <c r="E680" s="109">
        <v>0.7</v>
      </c>
      <c r="F680" s="109">
        <v>0.2</v>
      </c>
      <c r="G680" s="109">
        <v>9.4</v>
      </c>
      <c r="H680" s="238">
        <v>41.3</v>
      </c>
      <c r="K680" s="301" t="s">
        <v>178</v>
      </c>
    </row>
    <row r="681" spans="1:12" s="9" customFormat="1" ht="30" customHeight="1">
      <c r="A681" s="476" t="s">
        <v>94</v>
      </c>
      <c r="B681" s="482"/>
      <c r="C681" s="482"/>
      <c r="D681" s="26">
        <v>160</v>
      </c>
      <c r="E681" s="45">
        <v>0.4</v>
      </c>
      <c r="F681" s="45">
        <v>0.1</v>
      </c>
      <c r="G681" s="45">
        <v>15</v>
      </c>
      <c r="H681" s="43">
        <f>E681*4+F681*9+G681*4</f>
        <v>62.5</v>
      </c>
      <c r="I681" s="256" t="s">
        <v>205</v>
      </c>
      <c r="K681" s="301" t="s">
        <v>32</v>
      </c>
      <c r="L681" s="62">
        <f>C702+C668+C733</f>
        <v>14</v>
      </c>
    </row>
    <row r="682" spans="1:12" s="9" customFormat="1" ht="30" customHeight="1">
      <c r="A682" s="485" t="s">
        <v>57</v>
      </c>
      <c r="B682" s="485"/>
      <c r="C682" s="485"/>
      <c r="D682" s="245">
        <f>D683+285+D711+D734+D730</f>
        <v>795</v>
      </c>
      <c r="E682" s="99">
        <f>E683+E694+E711+E734+E737+E739+E730</f>
        <v>27.599999999999998</v>
      </c>
      <c r="F682" s="99">
        <f>F683+F694+F711+F734+F737+F739+F730</f>
        <v>23.2</v>
      </c>
      <c r="G682" s="99">
        <f>G683+G694+G711+G734+G737+G739+G730</f>
        <v>118.05000000000001</v>
      </c>
      <c r="H682" s="99">
        <f>H683+H694+H711+H734+H737+H739+H730</f>
        <v>789</v>
      </c>
      <c r="I682" s="253"/>
      <c r="K682" s="301" t="s">
        <v>33</v>
      </c>
      <c r="L682" s="62">
        <f>C692+C666+C713</f>
        <v>10</v>
      </c>
    </row>
    <row r="683" spans="1:12" s="9" customFormat="1" ht="30" customHeight="1">
      <c r="A683" s="483" t="s">
        <v>364</v>
      </c>
      <c r="B683" s="483"/>
      <c r="C683" s="483"/>
      <c r="D683" s="274">
        <v>60</v>
      </c>
      <c r="E683" s="44">
        <v>0.8</v>
      </c>
      <c r="F683" s="44">
        <v>3</v>
      </c>
      <c r="G683" s="44">
        <v>2.3</v>
      </c>
      <c r="H683" s="43">
        <f>G683*4+F683*9+E683*4</f>
        <v>39.400000000000006</v>
      </c>
      <c r="I683" s="268" t="s">
        <v>365</v>
      </c>
      <c r="K683" s="301" t="s">
        <v>179</v>
      </c>
      <c r="L683" s="62">
        <f>C660+C708</f>
        <v>126.8</v>
      </c>
    </row>
    <row r="684" spans="1:11" s="9" customFormat="1" ht="30" customHeight="1">
      <c r="A684" s="51" t="s">
        <v>55</v>
      </c>
      <c r="B684" s="37">
        <f>C684*1.25</f>
        <v>75</v>
      </c>
      <c r="C684" s="36">
        <v>60</v>
      </c>
      <c r="D684" s="274"/>
      <c r="E684" s="44"/>
      <c r="F684" s="44"/>
      <c r="G684" s="44"/>
      <c r="H684" s="43"/>
      <c r="I684" s="201"/>
      <c r="K684" s="301" t="s">
        <v>334</v>
      </c>
    </row>
    <row r="685" spans="1:12" s="9" customFormat="1" ht="30" customHeight="1">
      <c r="A685" s="269" t="s">
        <v>366</v>
      </c>
      <c r="B685" s="37"/>
      <c r="C685" s="36">
        <v>37</v>
      </c>
      <c r="D685" s="274"/>
      <c r="E685" s="41"/>
      <c r="F685" s="41"/>
      <c r="G685" s="41"/>
      <c r="H685" s="37"/>
      <c r="I685" s="232"/>
      <c r="J685" s="61"/>
      <c r="K685" s="301" t="s">
        <v>181</v>
      </c>
      <c r="L685" s="15">
        <v>1.5</v>
      </c>
    </row>
    <row r="686" spans="1:12" ht="30" customHeight="1">
      <c r="A686" s="500" t="s">
        <v>479</v>
      </c>
      <c r="B686" s="500"/>
      <c r="C686" s="500"/>
      <c r="D686" s="23"/>
      <c r="E686" s="36"/>
      <c r="F686" s="36"/>
      <c r="G686" s="36"/>
      <c r="H686" s="37"/>
      <c r="I686" s="270"/>
      <c r="K686" s="301" t="s">
        <v>180</v>
      </c>
      <c r="L686" s="15">
        <v>1</v>
      </c>
    </row>
    <row r="687" spans="1:9" ht="30" customHeight="1">
      <c r="A687" s="56" t="s">
        <v>367</v>
      </c>
      <c r="B687" s="234">
        <f>C687*1.02</f>
        <v>20.4</v>
      </c>
      <c r="C687" s="60">
        <v>20</v>
      </c>
      <c r="D687" s="23"/>
      <c r="E687" s="109"/>
      <c r="F687" s="109"/>
      <c r="G687" s="109"/>
      <c r="H687" s="238"/>
      <c r="I687" s="236"/>
    </row>
    <row r="688" spans="1:9" ht="30" customHeight="1">
      <c r="A688" s="53" t="s">
        <v>328</v>
      </c>
      <c r="B688" s="90">
        <f>C688*1.05</f>
        <v>21</v>
      </c>
      <c r="C688" s="60">
        <v>20</v>
      </c>
      <c r="D688" s="23"/>
      <c r="E688" s="109"/>
      <c r="F688" s="109"/>
      <c r="G688" s="109"/>
      <c r="H688" s="238"/>
      <c r="I688" s="341"/>
    </row>
    <row r="689" spans="1:11" s="9" customFormat="1" ht="30" customHeight="1">
      <c r="A689" s="53" t="s">
        <v>330</v>
      </c>
      <c r="B689" s="271">
        <v>0.06</v>
      </c>
      <c r="C689" s="271">
        <v>0.06</v>
      </c>
      <c r="D689" s="274"/>
      <c r="E689" s="44"/>
      <c r="F689" s="44"/>
      <c r="G689" s="44"/>
      <c r="H689" s="43"/>
      <c r="I689" s="229"/>
      <c r="J689" s="61"/>
      <c r="K689" s="312"/>
    </row>
    <row r="690" spans="1:12" s="9" customFormat="1" ht="30" customHeight="1">
      <c r="A690" s="53" t="s">
        <v>246</v>
      </c>
      <c r="B690" s="36">
        <v>3</v>
      </c>
      <c r="C690" s="36">
        <v>3</v>
      </c>
      <c r="D690" s="274"/>
      <c r="E690" s="95"/>
      <c r="F690" s="95"/>
      <c r="G690" s="44"/>
      <c r="H690" s="43"/>
      <c r="I690" s="223"/>
      <c r="J690" s="61"/>
      <c r="K690" s="312"/>
      <c r="L690" s="61"/>
    </row>
    <row r="691" spans="1:12" s="9" customFormat="1" ht="30" customHeight="1">
      <c r="A691" s="53" t="s">
        <v>478</v>
      </c>
      <c r="B691" s="37">
        <f>C691*2.38</f>
        <v>7.14</v>
      </c>
      <c r="C691" s="36">
        <v>3</v>
      </c>
      <c r="D691" s="274"/>
      <c r="E691" s="95"/>
      <c r="F691" s="95"/>
      <c r="G691" s="44"/>
      <c r="H691" s="43"/>
      <c r="I691" s="223"/>
      <c r="J691" s="61"/>
      <c r="K691" s="312"/>
      <c r="L691" s="61"/>
    </row>
    <row r="692" spans="1:12" s="9" customFormat="1" ht="30" customHeight="1">
      <c r="A692" s="53" t="s">
        <v>480</v>
      </c>
      <c r="B692" s="36">
        <v>3</v>
      </c>
      <c r="C692" s="36">
        <v>3</v>
      </c>
      <c r="D692" s="274"/>
      <c r="E692" s="95"/>
      <c r="F692" s="95"/>
      <c r="G692" s="44"/>
      <c r="H692" s="43"/>
      <c r="I692" s="223"/>
      <c r="J692" s="61"/>
      <c r="K692" s="312"/>
      <c r="L692" s="61"/>
    </row>
    <row r="693" spans="1:12" s="9" customFormat="1" ht="30" customHeight="1">
      <c r="A693" s="51" t="s">
        <v>261</v>
      </c>
      <c r="B693" s="35">
        <f>C693*1.35</f>
        <v>2.7</v>
      </c>
      <c r="C693" s="35">
        <v>2</v>
      </c>
      <c r="D693" s="274"/>
      <c r="E693" s="95"/>
      <c r="F693" s="95"/>
      <c r="G693" s="95"/>
      <c r="H693" s="87"/>
      <c r="I693" s="272"/>
      <c r="K693" s="313"/>
      <c r="L693" s="61"/>
    </row>
    <row r="694" spans="1:11" s="9" customFormat="1" ht="30" customHeight="1">
      <c r="A694" s="476" t="s">
        <v>271</v>
      </c>
      <c r="B694" s="482"/>
      <c r="C694" s="482"/>
      <c r="D694" s="23" t="s">
        <v>141</v>
      </c>
      <c r="E694" s="44">
        <v>5.2</v>
      </c>
      <c r="F694" s="44">
        <v>4.1</v>
      </c>
      <c r="G694" s="44">
        <v>19.8</v>
      </c>
      <c r="H694" s="43">
        <f>E694*4+F694*9+G694*4</f>
        <v>136.9</v>
      </c>
      <c r="I694" s="256" t="s">
        <v>272</v>
      </c>
      <c r="K694" s="313"/>
    </row>
    <row r="695" spans="1:11" s="9" customFormat="1" ht="30" customHeight="1">
      <c r="A695" s="51" t="s">
        <v>12</v>
      </c>
      <c r="B695" s="35">
        <f>C695*1.33</f>
        <v>133</v>
      </c>
      <c r="C695" s="36">
        <v>100</v>
      </c>
      <c r="D695" s="23"/>
      <c r="E695" s="44"/>
      <c r="F695" s="44"/>
      <c r="G695" s="44"/>
      <c r="H695" s="274"/>
      <c r="I695" s="253"/>
      <c r="K695" s="313"/>
    </row>
    <row r="696" spans="1:11" s="9" customFormat="1" ht="30" customHeight="1">
      <c r="A696" s="51" t="s">
        <v>13</v>
      </c>
      <c r="B696" s="35">
        <f>C696*1.43</f>
        <v>143</v>
      </c>
      <c r="C696" s="36">
        <v>100</v>
      </c>
      <c r="D696" s="20"/>
      <c r="E696" s="44"/>
      <c r="F696" s="44"/>
      <c r="G696" s="44"/>
      <c r="H696" s="274"/>
      <c r="I696" s="258"/>
      <c r="K696" s="313"/>
    </row>
    <row r="697" spans="1:11" s="9" customFormat="1" ht="30" customHeight="1">
      <c r="A697" s="53" t="s">
        <v>14</v>
      </c>
      <c r="B697" s="35">
        <f>C697*1.54</f>
        <v>154</v>
      </c>
      <c r="C697" s="36">
        <v>100</v>
      </c>
      <c r="D697" s="20"/>
      <c r="E697" s="44"/>
      <c r="F697" s="44"/>
      <c r="G697" s="44"/>
      <c r="H697" s="274"/>
      <c r="I697" s="253"/>
      <c r="K697" s="313"/>
    </row>
    <row r="698" spans="1:11" s="9" customFormat="1" ht="30" customHeight="1">
      <c r="A698" s="53" t="s">
        <v>15</v>
      </c>
      <c r="B698" s="35">
        <f>C698*1.67</f>
        <v>167</v>
      </c>
      <c r="C698" s="36">
        <v>100</v>
      </c>
      <c r="D698" s="20"/>
      <c r="E698" s="44"/>
      <c r="F698" s="44"/>
      <c r="G698" s="44"/>
      <c r="H698" s="274"/>
      <c r="I698" s="253"/>
      <c r="K698" s="313"/>
    </row>
    <row r="699" spans="1:11" s="9" customFormat="1" ht="30" customHeight="1">
      <c r="A699" s="51" t="s">
        <v>60</v>
      </c>
      <c r="B699" s="40">
        <f>C699*1.25</f>
        <v>12.5</v>
      </c>
      <c r="C699" s="35">
        <v>10</v>
      </c>
      <c r="D699" s="23"/>
      <c r="E699" s="95"/>
      <c r="F699" s="95"/>
      <c r="G699" s="95"/>
      <c r="H699" s="87"/>
      <c r="I699" s="254"/>
      <c r="K699" s="313"/>
    </row>
    <row r="700" spans="1:11" s="9" customFormat="1" ht="30" customHeight="1">
      <c r="A700" s="51" t="s">
        <v>16</v>
      </c>
      <c r="B700" s="40">
        <f>C700*1.33</f>
        <v>13.3</v>
      </c>
      <c r="C700" s="35">
        <v>10</v>
      </c>
      <c r="D700" s="23"/>
      <c r="E700" s="95"/>
      <c r="F700" s="95"/>
      <c r="G700" s="95"/>
      <c r="H700" s="87"/>
      <c r="I700" s="254"/>
      <c r="K700" s="313"/>
    </row>
    <row r="701" spans="1:11" s="9" customFormat="1" ht="30" customHeight="1">
      <c r="A701" s="53" t="s">
        <v>18</v>
      </c>
      <c r="B701" s="37">
        <f>C701*1.19</f>
        <v>11.899999999999999</v>
      </c>
      <c r="C701" s="36">
        <v>10</v>
      </c>
      <c r="D701" s="20"/>
      <c r="E701" s="44"/>
      <c r="F701" s="44"/>
      <c r="G701" s="44"/>
      <c r="H701" s="274"/>
      <c r="I701" s="254"/>
      <c r="K701" s="313"/>
    </row>
    <row r="702" spans="1:13" s="9" customFormat="1" ht="30" customHeight="1">
      <c r="A702" s="53" t="s">
        <v>19</v>
      </c>
      <c r="B702" s="36">
        <v>5</v>
      </c>
      <c r="C702" s="36">
        <v>5</v>
      </c>
      <c r="D702" s="20"/>
      <c r="E702" s="44"/>
      <c r="F702" s="44"/>
      <c r="G702" s="44"/>
      <c r="H702" s="274"/>
      <c r="I702" s="254"/>
      <c r="K702" s="313"/>
      <c r="L702" s="61"/>
      <c r="M702" s="111"/>
    </row>
    <row r="703" spans="1:13" s="9" customFormat="1" ht="30" customHeight="1">
      <c r="A703" s="121" t="s">
        <v>140</v>
      </c>
      <c r="B703" s="23"/>
      <c r="C703" s="23">
        <v>35</v>
      </c>
      <c r="D703" s="20"/>
      <c r="E703" s="44"/>
      <c r="F703" s="44"/>
      <c r="G703" s="44"/>
      <c r="H703" s="274"/>
      <c r="I703" s="255"/>
      <c r="K703" s="313"/>
      <c r="M703" s="111"/>
    </row>
    <row r="704" spans="1:13" s="9" customFormat="1" ht="30" customHeight="1">
      <c r="A704" s="55" t="s">
        <v>83</v>
      </c>
      <c r="B704" s="27">
        <f>C704*1.35</f>
        <v>45.900000000000006</v>
      </c>
      <c r="C704" s="37">
        <v>34</v>
      </c>
      <c r="D704" s="20"/>
      <c r="E704" s="44"/>
      <c r="F704" s="44"/>
      <c r="G704" s="44"/>
      <c r="H704" s="274"/>
      <c r="I704" s="255"/>
      <c r="K704" s="313"/>
      <c r="M704" s="111"/>
    </row>
    <row r="705" spans="1:11" s="9" customFormat="1" ht="30" customHeight="1">
      <c r="A705" s="112" t="s">
        <v>339</v>
      </c>
      <c r="B705" s="114">
        <f>C705*1.5</f>
        <v>51</v>
      </c>
      <c r="C705" s="37">
        <v>34</v>
      </c>
      <c r="D705" s="20"/>
      <c r="E705" s="95"/>
      <c r="F705" s="95"/>
      <c r="G705" s="95"/>
      <c r="H705" s="276"/>
      <c r="I705" s="255"/>
      <c r="K705" s="313"/>
    </row>
    <row r="706" spans="1:11" s="9" customFormat="1" ht="30" customHeight="1">
      <c r="A706" s="112" t="s">
        <v>145</v>
      </c>
      <c r="B706" s="114">
        <f>C706*1.82</f>
        <v>61.88</v>
      </c>
      <c r="C706" s="37">
        <v>34</v>
      </c>
      <c r="D706" s="20"/>
      <c r="E706" s="95"/>
      <c r="F706" s="95"/>
      <c r="G706" s="95"/>
      <c r="H706" s="276"/>
      <c r="I706" s="255"/>
      <c r="K706" s="313"/>
    </row>
    <row r="707" spans="1:8" ht="30" customHeight="1">
      <c r="A707" s="56" t="s">
        <v>18</v>
      </c>
      <c r="B707" s="24">
        <f>C707*1.19</f>
        <v>8.33</v>
      </c>
      <c r="C707" s="37">
        <v>7</v>
      </c>
      <c r="D707" s="23"/>
      <c r="E707" s="41"/>
      <c r="F707" s="41"/>
      <c r="G707" s="41"/>
      <c r="H707" s="36"/>
    </row>
    <row r="708" spans="1:8" ht="30" customHeight="1">
      <c r="A708" s="56" t="s">
        <v>84</v>
      </c>
      <c r="B708" s="360">
        <v>1.8</v>
      </c>
      <c r="C708" s="41">
        <v>1.8</v>
      </c>
      <c r="D708" s="23"/>
      <c r="E708" s="41"/>
      <c r="F708" s="41"/>
      <c r="G708" s="41"/>
      <c r="H708" s="36"/>
    </row>
    <row r="709" spans="1:8" ht="30" customHeight="1">
      <c r="A709" s="56" t="s">
        <v>62</v>
      </c>
      <c r="B709" s="360">
        <v>2.8</v>
      </c>
      <c r="C709" s="41">
        <v>2.8</v>
      </c>
      <c r="D709" s="23"/>
      <c r="E709" s="41"/>
      <c r="F709" s="41"/>
      <c r="G709" s="41"/>
      <c r="H709" s="36"/>
    </row>
    <row r="710" spans="1:12" s="9" customFormat="1" ht="30" customHeight="1">
      <c r="A710" s="53" t="s">
        <v>72</v>
      </c>
      <c r="B710" s="40">
        <v>0.2</v>
      </c>
      <c r="C710" s="40">
        <v>0.2</v>
      </c>
      <c r="D710" s="31"/>
      <c r="E710" s="85"/>
      <c r="F710" s="85"/>
      <c r="G710" s="85"/>
      <c r="H710" s="240"/>
      <c r="I710" s="254"/>
      <c r="K710" s="313"/>
      <c r="L710" s="61"/>
    </row>
    <row r="711" spans="1:9" ht="30" customHeight="1">
      <c r="A711" s="483" t="s">
        <v>426</v>
      </c>
      <c r="B711" s="483"/>
      <c r="C711" s="483"/>
      <c r="D711" s="23">
        <v>100</v>
      </c>
      <c r="E711" s="109">
        <v>13.9</v>
      </c>
      <c r="F711" s="109">
        <v>11.4</v>
      </c>
      <c r="G711" s="109">
        <v>3.8</v>
      </c>
      <c r="H711" s="354">
        <f>G711*4+F711*9+E711*4</f>
        <v>173.4</v>
      </c>
      <c r="I711" s="231" t="s">
        <v>427</v>
      </c>
    </row>
    <row r="712" spans="1:11" s="9" customFormat="1" ht="30" customHeight="1">
      <c r="A712" s="419" t="s">
        <v>428</v>
      </c>
      <c r="B712" s="27">
        <f>C712*1.054</f>
        <v>72.726</v>
      </c>
      <c r="C712" s="276">
        <v>69</v>
      </c>
      <c r="D712" s="36"/>
      <c r="E712" s="41"/>
      <c r="F712" s="41"/>
      <c r="G712" s="41"/>
      <c r="H712" s="41"/>
      <c r="I712" s="405"/>
      <c r="K712" s="313"/>
    </row>
    <row r="713" spans="1:11" s="9" customFormat="1" ht="30" customHeight="1">
      <c r="A713" s="53" t="s">
        <v>11</v>
      </c>
      <c r="B713" s="36">
        <v>4</v>
      </c>
      <c r="C713" s="36">
        <v>4</v>
      </c>
      <c r="D713" s="36"/>
      <c r="E713" s="420"/>
      <c r="F713" s="420"/>
      <c r="G713" s="420"/>
      <c r="H713" s="43"/>
      <c r="I713" s="405"/>
      <c r="K713" s="313"/>
    </row>
    <row r="714" spans="1:9" ht="30" customHeight="1">
      <c r="A714" s="53" t="s">
        <v>429</v>
      </c>
      <c r="B714" s="36"/>
      <c r="C714" s="36">
        <v>50</v>
      </c>
      <c r="D714" s="36"/>
      <c r="E714" s="41"/>
      <c r="F714" s="41"/>
      <c r="G714" s="41"/>
      <c r="H714" s="37"/>
      <c r="I714" s="405"/>
    </row>
    <row r="715" spans="1:9" ht="30" customHeight="1">
      <c r="A715" s="56" t="s">
        <v>18</v>
      </c>
      <c r="B715" s="41">
        <f>C715*1.19</f>
        <v>9.52</v>
      </c>
      <c r="C715" s="36">
        <v>8</v>
      </c>
      <c r="D715" s="23"/>
      <c r="E715" s="109"/>
      <c r="F715" s="41"/>
      <c r="G715" s="41"/>
      <c r="H715" s="41"/>
      <c r="I715" s="421"/>
    </row>
    <row r="716" spans="1:9" ht="36.75" customHeight="1">
      <c r="A716" s="56" t="s">
        <v>430</v>
      </c>
      <c r="B716" s="37">
        <v>5</v>
      </c>
      <c r="C716" s="37">
        <v>5</v>
      </c>
      <c r="D716" s="23"/>
      <c r="E716" s="41"/>
      <c r="F716" s="41"/>
      <c r="G716" s="41"/>
      <c r="H716" s="36"/>
      <c r="I716" s="422"/>
    </row>
    <row r="717" spans="1:11" s="9" customFormat="1" ht="30" customHeight="1">
      <c r="A717" s="51" t="s">
        <v>21</v>
      </c>
      <c r="B717" s="35">
        <v>2</v>
      </c>
      <c r="C717" s="35">
        <v>2</v>
      </c>
      <c r="D717" s="237"/>
      <c r="E717" s="106"/>
      <c r="F717" s="94"/>
      <c r="G717" s="94"/>
      <c r="H717" s="412"/>
      <c r="I717" s="423"/>
      <c r="K717" s="313"/>
    </row>
    <row r="718" spans="1:9" ht="30" customHeight="1">
      <c r="A718" s="53" t="s">
        <v>262</v>
      </c>
      <c r="B718" s="41">
        <f>C718*1.28</f>
        <v>1.1520000000000001</v>
      </c>
      <c r="C718" s="36">
        <v>0.9</v>
      </c>
      <c r="D718" s="38"/>
      <c r="E718" s="41"/>
      <c r="F718" s="109"/>
      <c r="G718" s="109"/>
      <c r="H718" s="23"/>
      <c r="I718" s="424"/>
    </row>
    <row r="719" spans="1:9" ht="30" customHeight="1">
      <c r="A719" s="53" t="s">
        <v>60</v>
      </c>
      <c r="B719" s="37">
        <f>C719*1.25</f>
        <v>10</v>
      </c>
      <c r="C719" s="37">
        <v>8</v>
      </c>
      <c r="D719" s="36"/>
      <c r="E719" s="36"/>
      <c r="F719" s="53"/>
      <c r="G719" s="36"/>
      <c r="H719" s="41"/>
      <c r="I719" s="425"/>
    </row>
    <row r="720" spans="1:11" s="9" customFormat="1" ht="30" customHeight="1">
      <c r="A720" s="56" t="s">
        <v>16</v>
      </c>
      <c r="B720" s="37">
        <f>C720*1.33</f>
        <v>10.64</v>
      </c>
      <c r="C720" s="37">
        <v>8</v>
      </c>
      <c r="D720" s="276"/>
      <c r="E720" s="36"/>
      <c r="F720" s="426"/>
      <c r="G720" s="276"/>
      <c r="H720" s="95"/>
      <c r="I720" s="427"/>
      <c r="K720" s="313"/>
    </row>
    <row r="721" spans="1:11" s="9" customFormat="1" ht="30" customHeight="1">
      <c r="A721" s="52" t="s">
        <v>62</v>
      </c>
      <c r="B721" s="35">
        <v>50</v>
      </c>
      <c r="C721" s="35">
        <v>50</v>
      </c>
      <c r="D721" s="237"/>
      <c r="E721" s="106"/>
      <c r="F721" s="94"/>
      <c r="G721" s="94"/>
      <c r="H721" s="412"/>
      <c r="I721" s="423"/>
      <c r="K721" s="313"/>
    </row>
    <row r="722" spans="1:11" s="9" customFormat="1" ht="30" customHeight="1">
      <c r="A722" s="468" t="s">
        <v>69</v>
      </c>
      <c r="B722" s="468"/>
      <c r="C722" s="468"/>
      <c r="D722" s="468"/>
      <c r="E722" s="468"/>
      <c r="F722" s="468"/>
      <c r="G722" s="468"/>
      <c r="H722" s="468"/>
      <c r="I722" s="468"/>
      <c r="J722" s="61"/>
      <c r="K722" s="312"/>
    </row>
    <row r="723" spans="1:11" s="9" customFormat="1" ht="30" customHeight="1">
      <c r="A723" s="483" t="s">
        <v>213</v>
      </c>
      <c r="B723" s="483"/>
      <c r="C723" s="483"/>
      <c r="D723" s="23">
        <v>100</v>
      </c>
      <c r="E723" s="44">
        <v>10.4</v>
      </c>
      <c r="F723" s="44">
        <v>9.2</v>
      </c>
      <c r="G723" s="44">
        <v>4</v>
      </c>
      <c r="H723" s="43">
        <f>E723*4+F723*9+G723*4</f>
        <v>140.4</v>
      </c>
      <c r="I723" s="256" t="s">
        <v>214</v>
      </c>
      <c r="J723" s="61"/>
      <c r="K723" s="312"/>
    </row>
    <row r="724" spans="1:11" s="9" customFormat="1" ht="30" customHeight="1">
      <c r="A724" s="86" t="s">
        <v>86</v>
      </c>
      <c r="B724" s="48">
        <f>C724*1.36</f>
        <v>107.44000000000001</v>
      </c>
      <c r="C724" s="37">
        <v>79</v>
      </c>
      <c r="D724" s="36"/>
      <c r="E724" s="95"/>
      <c r="F724" s="95"/>
      <c r="G724" s="95"/>
      <c r="H724" s="276"/>
      <c r="I724" s="254"/>
      <c r="J724" s="61"/>
      <c r="K724" s="312"/>
    </row>
    <row r="725" spans="1:11" s="9" customFormat="1" ht="30" customHeight="1">
      <c r="A725" s="86" t="s">
        <v>87</v>
      </c>
      <c r="B725" s="48">
        <f>C725*1.18</f>
        <v>93.22</v>
      </c>
      <c r="C725" s="35">
        <f>C724</f>
        <v>79</v>
      </c>
      <c r="D725" s="228"/>
      <c r="E725" s="85"/>
      <c r="F725" s="85"/>
      <c r="G725" s="85"/>
      <c r="H725" s="240"/>
      <c r="I725" s="254"/>
      <c r="J725" s="61"/>
      <c r="K725" s="312"/>
    </row>
    <row r="726" spans="1:11" s="9" customFormat="1" ht="30" customHeight="1">
      <c r="A726" s="53" t="s">
        <v>11</v>
      </c>
      <c r="B726" s="37">
        <v>5</v>
      </c>
      <c r="C726" s="37">
        <v>4.5</v>
      </c>
      <c r="D726" s="36"/>
      <c r="E726" s="95"/>
      <c r="F726" s="95"/>
      <c r="G726" s="95"/>
      <c r="H726" s="276"/>
      <c r="I726" s="254"/>
      <c r="J726" s="61"/>
      <c r="K726" s="312"/>
    </row>
    <row r="727" spans="1:11" s="9" customFormat="1" ht="30" customHeight="1">
      <c r="A727" s="53" t="s">
        <v>18</v>
      </c>
      <c r="B727" s="37">
        <f>C727*1.19</f>
        <v>11.899999999999999</v>
      </c>
      <c r="C727" s="36">
        <v>10</v>
      </c>
      <c r="D727" s="36"/>
      <c r="E727" s="95"/>
      <c r="F727" s="95"/>
      <c r="G727" s="95"/>
      <c r="H727" s="276"/>
      <c r="I727" s="254"/>
      <c r="J727" s="61"/>
      <c r="K727" s="312"/>
    </row>
    <row r="728" spans="1:11" s="9" customFormat="1" ht="42" customHeight="1">
      <c r="A728" s="57" t="s">
        <v>54</v>
      </c>
      <c r="B728" s="36">
        <v>4</v>
      </c>
      <c r="C728" s="36">
        <v>4</v>
      </c>
      <c r="D728" s="36"/>
      <c r="E728" s="95"/>
      <c r="F728" s="95"/>
      <c r="G728" s="95"/>
      <c r="H728" s="276"/>
      <c r="I728" s="254"/>
      <c r="J728" s="61"/>
      <c r="K728" s="312"/>
    </row>
    <row r="729" spans="1:11" s="9" customFormat="1" ht="30" customHeight="1">
      <c r="A729" s="53" t="s">
        <v>21</v>
      </c>
      <c r="B729" s="36">
        <v>2.5</v>
      </c>
      <c r="C729" s="36">
        <v>2.5</v>
      </c>
      <c r="D729" s="36"/>
      <c r="E729" s="95"/>
      <c r="F729" s="44"/>
      <c r="G729" s="44"/>
      <c r="H729" s="274"/>
      <c r="I729" s="254"/>
      <c r="J729" s="61"/>
      <c r="K729" s="312"/>
    </row>
    <row r="730" spans="1:13" s="9" customFormat="1" ht="30" customHeight="1">
      <c r="A730" s="483" t="s">
        <v>292</v>
      </c>
      <c r="B730" s="482"/>
      <c r="C730" s="482"/>
      <c r="D730" s="21">
        <v>150</v>
      </c>
      <c r="E730" s="44">
        <v>3.7</v>
      </c>
      <c r="F730" s="44">
        <v>3.6</v>
      </c>
      <c r="G730" s="44">
        <v>34.1</v>
      </c>
      <c r="H730" s="43">
        <f>G730*4+F730*9+E730*4</f>
        <v>183.60000000000002</v>
      </c>
      <c r="I730" s="256" t="s">
        <v>293</v>
      </c>
      <c r="K730" s="313"/>
      <c r="M730" s="162"/>
    </row>
    <row r="731" spans="1:11" s="9" customFormat="1" ht="30" customHeight="1">
      <c r="A731" s="53" t="s">
        <v>23</v>
      </c>
      <c r="B731" s="5">
        <v>54</v>
      </c>
      <c r="C731" s="5">
        <v>54</v>
      </c>
      <c r="D731" s="36"/>
      <c r="E731" s="95"/>
      <c r="F731" s="95"/>
      <c r="G731" s="95"/>
      <c r="H731" s="276"/>
      <c r="I731" s="254"/>
      <c r="K731" s="313"/>
    </row>
    <row r="732" spans="1:11" s="9" customFormat="1" ht="30" customHeight="1">
      <c r="A732" s="53" t="s">
        <v>62</v>
      </c>
      <c r="B732" s="5">
        <f>B731*6</f>
        <v>324</v>
      </c>
      <c r="C732" s="5">
        <f>C731*6</f>
        <v>324</v>
      </c>
      <c r="D732" s="36"/>
      <c r="E732" s="95"/>
      <c r="F732" s="95"/>
      <c r="G732" s="95"/>
      <c r="H732" s="276"/>
      <c r="I732" s="254"/>
      <c r="K732" s="313"/>
    </row>
    <row r="733" spans="1:11" s="9" customFormat="1" ht="30" customHeight="1">
      <c r="A733" s="53" t="s">
        <v>19</v>
      </c>
      <c r="B733" s="5">
        <v>4</v>
      </c>
      <c r="C733" s="5">
        <v>4</v>
      </c>
      <c r="D733" s="36"/>
      <c r="E733" s="95"/>
      <c r="F733" s="95"/>
      <c r="G733" s="95"/>
      <c r="H733" s="276"/>
      <c r="I733" s="254"/>
      <c r="K733" s="313"/>
    </row>
    <row r="734" spans="1:11" s="9" customFormat="1" ht="30" customHeight="1">
      <c r="A734" s="494" t="s">
        <v>277</v>
      </c>
      <c r="B734" s="482"/>
      <c r="C734" s="482"/>
      <c r="D734" s="145">
        <v>200</v>
      </c>
      <c r="E734" s="104">
        <v>0.1</v>
      </c>
      <c r="F734" s="104">
        <v>0</v>
      </c>
      <c r="G734" s="104">
        <v>19</v>
      </c>
      <c r="H734" s="239">
        <f>G734*4+F734*9+E734*4</f>
        <v>76.4</v>
      </c>
      <c r="I734" s="231" t="s">
        <v>278</v>
      </c>
      <c r="K734" s="313"/>
    </row>
    <row r="735" spans="1:11" s="9" customFormat="1" ht="30" customHeight="1">
      <c r="A735" s="76" t="s">
        <v>355</v>
      </c>
      <c r="B735" s="50">
        <v>26.4</v>
      </c>
      <c r="C735" s="50">
        <v>25</v>
      </c>
      <c r="D735" s="230"/>
      <c r="E735" s="144"/>
      <c r="F735" s="144"/>
      <c r="G735" s="144"/>
      <c r="H735" s="247"/>
      <c r="I735" s="254"/>
      <c r="K735" s="313"/>
    </row>
    <row r="736" spans="1:11" s="9" customFormat="1" ht="30" customHeight="1">
      <c r="A736" s="53" t="s">
        <v>4</v>
      </c>
      <c r="B736" s="50">
        <v>15</v>
      </c>
      <c r="C736" s="50">
        <v>15</v>
      </c>
      <c r="D736" s="230"/>
      <c r="E736" s="144"/>
      <c r="F736" s="144"/>
      <c r="G736" s="144"/>
      <c r="H736" s="247"/>
      <c r="I736" s="254"/>
      <c r="K736" s="313"/>
    </row>
    <row r="737" spans="1:8" ht="30" customHeight="1">
      <c r="A737" s="146" t="s">
        <v>20</v>
      </c>
      <c r="B737" s="36">
        <v>50</v>
      </c>
      <c r="C737" s="36">
        <v>50</v>
      </c>
      <c r="D737" s="23">
        <v>50</v>
      </c>
      <c r="E737" s="109">
        <v>2.5</v>
      </c>
      <c r="F737" s="109">
        <v>0.7000000000000001</v>
      </c>
      <c r="G737" s="109">
        <v>20.25</v>
      </c>
      <c r="H737" s="109">
        <v>97.3</v>
      </c>
    </row>
    <row r="738" spans="1:11" s="9" customFormat="1" ht="30" customHeight="1">
      <c r="A738" s="483" t="s">
        <v>74</v>
      </c>
      <c r="B738" s="482"/>
      <c r="C738" s="482"/>
      <c r="D738" s="77">
        <v>50</v>
      </c>
      <c r="E738" s="95"/>
      <c r="F738" s="95"/>
      <c r="G738" s="95"/>
      <c r="H738" s="95"/>
      <c r="I738" s="254"/>
      <c r="K738" s="313"/>
    </row>
    <row r="739" spans="1:11" ht="30" customHeight="1">
      <c r="A739" s="203" t="s">
        <v>26</v>
      </c>
      <c r="B739" s="36">
        <v>40</v>
      </c>
      <c r="C739" s="36">
        <v>40</v>
      </c>
      <c r="D739" s="23">
        <v>40</v>
      </c>
      <c r="E739" s="109">
        <v>1.4</v>
      </c>
      <c r="F739" s="109">
        <v>0.4</v>
      </c>
      <c r="G739" s="109">
        <v>18.8</v>
      </c>
      <c r="H739" s="238">
        <v>82</v>
      </c>
      <c r="K739" s="61"/>
    </row>
    <row r="740" spans="1:9" s="9" customFormat="1" ht="30" customHeight="1">
      <c r="A740" s="472" t="s">
        <v>24</v>
      </c>
      <c r="B740" s="472"/>
      <c r="C740" s="472"/>
      <c r="D740" s="472"/>
      <c r="E740" s="99">
        <f>E682+E655</f>
        <v>47.599999999999994</v>
      </c>
      <c r="F740" s="99">
        <f>F682+F655</f>
        <v>42.8</v>
      </c>
      <c r="G740" s="99">
        <f>G682+G655</f>
        <v>186.65</v>
      </c>
      <c r="H740" s="96">
        <f>H682+H655</f>
        <v>1323.5</v>
      </c>
      <c r="I740" s="255"/>
    </row>
    <row r="741" spans="1:9" s="9" customFormat="1" ht="30" customHeight="1">
      <c r="A741" s="478" t="s">
        <v>451</v>
      </c>
      <c r="B741" s="478"/>
      <c r="C741" s="478"/>
      <c r="D741" s="478"/>
      <c r="E741" s="478"/>
      <c r="F741" s="478"/>
      <c r="G741" s="478"/>
      <c r="H741" s="478"/>
      <c r="I741" s="478"/>
    </row>
    <row r="742" spans="1:9" s="9" customFormat="1" ht="30" customHeight="1">
      <c r="A742" s="470" t="s">
        <v>0</v>
      </c>
      <c r="B742" s="471" t="s">
        <v>6</v>
      </c>
      <c r="C742" s="471" t="s">
        <v>7</v>
      </c>
      <c r="D742" s="470" t="s">
        <v>5</v>
      </c>
      <c r="E742" s="470"/>
      <c r="F742" s="470"/>
      <c r="G742" s="470"/>
      <c r="H742" s="470"/>
      <c r="I742" s="470"/>
    </row>
    <row r="743" spans="1:9" s="9" customFormat="1" ht="30" customHeight="1">
      <c r="A743" s="470"/>
      <c r="B743" s="471"/>
      <c r="C743" s="471"/>
      <c r="D743" s="135" t="s">
        <v>8</v>
      </c>
      <c r="E743" s="281" t="s">
        <v>1</v>
      </c>
      <c r="F743" s="281" t="s">
        <v>2</v>
      </c>
      <c r="G743" s="281" t="s">
        <v>9</v>
      </c>
      <c r="H743" s="280" t="s">
        <v>3</v>
      </c>
      <c r="I743" s="282" t="s">
        <v>190</v>
      </c>
    </row>
    <row r="744" spans="1:9" s="9" customFormat="1" ht="30" customHeight="1">
      <c r="A744" s="485" t="s">
        <v>105</v>
      </c>
      <c r="B744" s="485"/>
      <c r="C744" s="485"/>
      <c r="D744" s="245">
        <f>D759+D745+D761+D760</f>
        <v>550</v>
      </c>
      <c r="E744" s="99">
        <f>E759+E745+E761+E769+E771+E760</f>
        <v>18.433333333333334</v>
      </c>
      <c r="F744" s="99">
        <f>F759+F745+F761+F769+F771+F760</f>
        <v>18.099999999999998</v>
      </c>
      <c r="G744" s="99">
        <f>G759+G745+G761+G769+G771+G760</f>
        <v>86.5</v>
      </c>
      <c r="H744" s="99">
        <f>H759+H745+H761+H769+H771+H760</f>
        <v>582.5333333333332</v>
      </c>
      <c r="I744" s="254"/>
    </row>
    <row r="745" spans="1:9" s="9" customFormat="1" ht="30" customHeight="1">
      <c r="A745" s="489" t="s">
        <v>273</v>
      </c>
      <c r="B745" s="489"/>
      <c r="C745" s="489"/>
      <c r="D745" s="274">
        <v>230</v>
      </c>
      <c r="E745" s="44">
        <v>12.9</v>
      </c>
      <c r="F745" s="44">
        <v>14.5</v>
      </c>
      <c r="G745" s="44">
        <v>37.3</v>
      </c>
      <c r="H745" s="43">
        <f>E745*4+F745*9+G745*4</f>
        <v>331.29999999999995</v>
      </c>
      <c r="I745" s="226" t="s">
        <v>224</v>
      </c>
    </row>
    <row r="746" spans="1:11" s="9" customFormat="1" ht="30" customHeight="1">
      <c r="A746" s="86" t="s">
        <v>86</v>
      </c>
      <c r="B746" s="27">
        <f>C746*1.36</f>
        <v>107.44000000000001</v>
      </c>
      <c r="C746" s="28">
        <v>79</v>
      </c>
      <c r="D746" s="20"/>
      <c r="E746" s="44"/>
      <c r="F746" s="44"/>
      <c r="G746" s="44"/>
      <c r="H746" s="43"/>
      <c r="I746" s="226"/>
      <c r="K746" s="314" t="s">
        <v>47</v>
      </c>
    </row>
    <row r="747" spans="1:12" s="9" customFormat="1" ht="30" customHeight="1">
      <c r="A747" s="86" t="s">
        <v>87</v>
      </c>
      <c r="B747" s="27">
        <f>C747*1.18</f>
        <v>93.22</v>
      </c>
      <c r="C747" s="5">
        <f>C746</f>
        <v>79</v>
      </c>
      <c r="D747" s="228"/>
      <c r="E747" s="85"/>
      <c r="F747" s="85"/>
      <c r="G747" s="85"/>
      <c r="H747" s="240"/>
      <c r="I747" s="378"/>
      <c r="K747" s="301" t="s">
        <v>26</v>
      </c>
      <c r="L747" s="70">
        <f>D852+C771</f>
        <v>70</v>
      </c>
    </row>
    <row r="748" spans="1:12" s="9" customFormat="1" ht="30" customHeight="1">
      <c r="A748" s="56" t="s">
        <v>11</v>
      </c>
      <c r="B748" s="37">
        <v>10</v>
      </c>
      <c r="C748" s="37">
        <v>10</v>
      </c>
      <c r="D748" s="23"/>
      <c r="E748" s="44"/>
      <c r="F748" s="44"/>
      <c r="G748" s="44"/>
      <c r="H748" s="43"/>
      <c r="I748" s="226"/>
      <c r="K748" s="301" t="s">
        <v>126</v>
      </c>
      <c r="L748" s="165">
        <f>D849+C768+C812</f>
        <v>61</v>
      </c>
    </row>
    <row r="749" spans="1:12" ht="30" customHeight="1">
      <c r="A749" s="373" t="s">
        <v>438</v>
      </c>
      <c r="B749" s="238"/>
      <c r="C749" s="238">
        <v>50</v>
      </c>
      <c r="D749" s="23"/>
      <c r="E749" s="44"/>
      <c r="F749" s="44"/>
      <c r="G749" s="44"/>
      <c r="H749" s="43"/>
      <c r="I749" s="226"/>
      <c r="K749" s="301" t="s">
        <v>126</v>
      </c>
      <c r="L749" s="163">
        <f>D850+C769</f>
        <v>70</v>
      </c>
    </row>
    <row r="750" spans="1:12" s="9" customFormat="1" ht="30" customHeight="1">
      <c r="A750" s="56" t="s">
        <v>23</v>
      </c>
      <c r="B750" s="37">
        <v>61</v>
      </c>
      <c r="C750" s="37">
        <v>61</v>
      </c>
      <c r="D750" s="23"/>
      <c r="E750" s="44"/>
      <c r="F750" s="44"/>
      <c r="G750" s="44"/>
      <c r="H750" s="43"/>
      <c r="I750" s="226"/>
      <c r="K750" s="301" t="s">
        <v>155</v>
      </c>
      <c r="L750" s="164">
        <f>C845+C820</f>
        <v>8</v>
      </c>
    </row>
    <row r="751" spans="1:12" s="9" customFormat="1" ht="30" customHeight="1">
      <c r="A751" s="51" t="s">
        <v>60</v>
      </c>
      <c r="B751" s="35">
        <f>C751*1.25</f>
        <v>25</v>
      </c>
      <c r="C751" s="28">
        <v>20</v>
      </c>
      <c r="D751" s="23"/>
      <c r="E751" s="44"/>
      <c r="F751" s="44"/>
      <c r="G751" s="44"/>
      <c r="H751" s="43"/>
      <c r="I751" s="226"/>
      <c r="K751" s="301" t="s">
        <v>66</v>
      </c>
      <c r="L751" s="180">
        <f>C750+C800</f>
        <v>76</v>
      </c>
    </row>
    <row r="752" spans="1:12" s="9" customFormat="1" ht="30" customHeight="1">
      <c r="A752" s="51" t="s">
        <v>16</v>
      </c>
      <c r="B752" s="35">
        <f>C752*1.33</f>
        <v>26.6</v>
      </c>
      <c r="C752" s="28">
        <v>20</v>
      </c>
      <c r="D752" s="23"/>
      <c r="E752" s="44"/>
      <c r="F752" s="44"/>
      <c r="G752" s="44"/>
      <c r="H752" s="43"/>
      <c r="I752" s="226"/>
      <c r="K752" s="301" t="s">
        <v>65</v>
      </c>
      <c r="L752" s="163"/>
    </row>
    <row r="753" spans="1:12" s="9" customFormat="1" ht="30" customHeight="1">
      <c r="A753" s="56" t="s">
        <v>18</v>
      </c>
      <c r="B753" s="37">
        <f>C753*1.19</f>
        <v>11.899999999999999</v>
      </c>
      <c r="C753" s="37">
        <v>10</v>
      </c>
      <c r="D753" s="23"/>
      <c r="E753" s="44"/>
      <c r="F753" s="44"/>
      <c r="G753" s="44"/>
      <c r="H753" s="43"/>
      <c r="I753" s="226"/>
      <c r="K753" s="301" t="s">
        <v>27</v>
      </c>
      <c r="L753" s="165">
        <f>C799+C779</f>
        <v>28</v>
      </c>
    </row>
    <row r="754" spans="1:12" s="9" customFormat="1" ht="30" customHeight="1">
      <c r="A754" s="57" t="s">
        <v>54</v>
      </c>
      <c r="B754" s="28">
        <v>10</v>
      </c>
      <c r="C754" s="28">
        <v>10</v>
      </c>
      <c r="D754" s="23"/>
      <c r="E754" s="44"/>
      <c r="F754" s="44"/>
      <c r="G754" s="44"/>
      <c r="H754" s="44"/>
      <c r="I754" s="226"/>
      <c r="K754" s="301" t="s">
        <v>201</v>
      </c>
      <c r="L754" s="165">
        <f>C756+C753+C775+C777+C783+C801+C808+C839+C841+C843+C844+C803+C813+C793+C751+C754+C795+C804</f>
        <v>462.2</v>
      </c>
    </row>
    <row r="755" spans="1:12" s="9" customFormat="1" ht="30" customHeight="1">
      <c r="A755" s="476" t="s">
        <v>253</v>
      </c>
      <c r="B755" s="476"/>
      <c r="C755" s="476"/>
      <c r="D755" s="23">
        <v>100</v>
      </c>
      <c r="E755" s="109">
        <v>0.7000000000000001</v>
      </c>
      <c r="F755" s="109">
        <v>0.1</v>
      </c>
      <c r="G755" s="109">
        <v>1.9</v>
      </c>
      <c r="H755" s="109">
        <v>11.299999999999999</v>
      </c>
      <c r="I755" s="243" t="s">
        <v>212</v>
      </c>
      <c r="K755" s="301" t="s">
        <v>28</v>
      </c>
      <c r="L755" s="70"/>
    </row>
    <row r="756" spans="1:12" s="9" customFormat="1" ht="30" customHeight="1">
      <c r="A756" s="377" t="s">
        <v>166</v>
      </c>
      <c r="B756" s="87">
        <f>C756*1.05</f>
        <v>105</v>
      </c>
      <c r="C756" s="276">
        <v>100</v>
      </c>
      <c r="D756" s="36"/>
      <c r="E756" s="36"/>
      <c r="F756" s="36"/>
      <c r="G756" s="36"/>
      <c r="H756" s="41"/>
      <c r="I756" s="270"/>
      <c r="K756" s="301" t="s">
        <v>170</v>
      </c>
      <c r="L756" s="9">
        <f>C848</f>
        <v>25</v>
      </c>
    </row>
    <row r="757" spans="1:12" s="9" customFormat="1" ht="30" customHeight="1">
      <c r="A757" s="377" t="s">
        <v>112</v>
      </c>
      <c r="B757" s="87">
        <f>C757*1.02</f>
        <v>102</v>
      </c>
      <c r="C757" s="276">
        <v>100</v>
      </c>
      <c r="D757" s="351"/>
      <c r="E757" s="351"/>
      <c r="F757" s="351"/>
      <c r="G757" s="351"/>
      <c r="H757" s="327"/>
      <c r="I757" s="270"/>
      <c r="K757" s="301" t="s">
        <v>202</v>
      </c>
      <c r="L757" s="17">
        <f>C849+C846+C763+C806</f>
        <v>28</v>
      </c>
    </row>
    <row r="758" spans="1:12" s="9" customFormat="1" ht="30" customHeight="1">
      <c r="A758" s="468" t="s">
        <v>69</v>
      </c>
      <c r="B758" s="468"/>
      <c r="C758" s="468"/>
      <c r="D758" s="468"/>
      <c r="E758" s="468"/>
      <c r="F758" s="468"/>
      <c r="G758" s="468"/>
      <c r="H758" s="468"/>
      <c r="I758" s="468"/>
      <c r="K758" s="301" t="s">
        <v>357</v>
      </c>
      <c r="L758" s="61"/>
    </row>
    <row r="759" spans="1:12" ht="30" customHeight="1">
      <c r="A759" s="333" t="s">
        <v>444</v>
      </c>
      <c r="B759" s="87">
        <f>C759*1.82</f>
        <v>182</v>
      </c>
      <c r="C759" s="276">
        <v>100</v>
      </c>
      <c r="D759" s="23">
        <v>100</v>
      </c>
      <c r="E759" s="109">
        <v>0.8333333333333334</v>
      </c>
      <c r="F759" s="109">
        <v>0.1</v>
      </c>
      <c r="G759" s="109">
        <v>1.6</v>
      </c>
      <c r="H759" s="109">
        <v>10.633333333333335</v>
      </c>
      <c r="I759" s="232" t="s">
        <v>445</v>
      </c>
      <c r="K759" s="315" t="s">
        <v>29</v>
      </c>
      <c r="L759" s="61">
        <f>D760</f>
        <v>20</v>
      </c>
    </row>
    <row r="760" spans="1:12" ht="30" customHeight="1">
      <c r="A760" s="483" t="s">
        <v>446</v>
      </c>
      <c r="B760" s="483"/>
      <c r="C760" s="483"/>
      <c r="D760" s="23">
        <v>20</v>
      </c>
      <c r="E760" s="109">
        <v>1.2</v>
      </c>
      <c r="F760" s="109">
        <v>1.4</v>
      </c>
      <c r="G760" s="109">
        <v>12.5</v>
      </c>
      <c r="H760" s="43">
        <f>G760*4+F760*9+E760*4</f>
        <v>67.4</v>
      </c>
      <c r="I760" s="232"/>
      <c r="K760" s="301" t="s">
        <v>70</v>
      </c>
      <c r="L760" s="335"/>
    </row>
    <row r="761" spans="1:11" s="9" customFormat="1" ht="30" customHeight="1">
      <c r="A761" s="483" t="s">
        <v>257</v>
      </c>
      <c r="B761" s="483"/>
      <c r="C761" s="483"/>
      <c r="D761" s="23">
        <v>200</v>
      </c>
      <c r="E761" s="44">
        <v>1.9</v>
      </c>
      <c r="F761" s="44">
        <v>1.7</v>
      </c>
      <c r="G761" s="44">
        <v>17</v>
      </c>
      <c r="H761" s="43">
        <f>G761*4+F761*9+E761*4</f>
        <v>90.89999999999999</v>
      </c>
      <c r="I761" s="231" t="s">
        <v>258</v>
      </c>
      <c r="K761" s="301" t="s">
        <v>182</v>
      </c>
    </row>
    <row r="762" spans="1:12" s="9" customFormat="1" ht="30" customHeight="1">
      <c r="A762" s="53" t="s">
        <v>107</v>
      </c>
      <c r="B762" s="36">
        <v>4</v>
      </c>
      <c r="C762" s="36">
        <v>4</v>
      </c>
      <c r="D762" s="36"/>
      <c r="E762" s="95"/>
      <c r="F762" s="95"/>
      <c r="G762" s="95"/>
      <c r="H762" s="276"/>
      <c r="I762" s="254"/>
      <c r="K762" s="301" t="s">
        <v>183</v>
      </c>
      <c r="L762" s="61">
        <f>C762</f>
        <v>4</v>
      </c>
    </row>
    <row r="763" spans="1:12" s="9" customFormat="1" ht="30" customHeight="1">
      <c r="A763" s="53" t="s">
        <v>4</v>
      </c>
      <c r="B763" s="29">
        <v>15</v>
      </c>
      <c r="C763" s="29">
        <v>15</v>
      </c>
      <c r="D763" s="29"/>
      <c r="E763" s="95"/>
      <c r="F763" s="95"/>
      <c r="G763" s="95"/>
      <c r="H763" s="276"/>
      <c r="I763" s="254"/>
      <c r="K763" s="316" t="s">
        <v>30</v>
      </c>
      <c r="L763" s="17"/>
    </row>
    <row r="764" spans="1:13" s="9" customFormat="1" ht="30" customHeight="1">
      <c r="A764" s="53" t="s">
        <v>52</v>
      </c>
      <c r="B764" s="36">
        <v>50</v>
      </c>
      <c r="C764" s="36">
        <v>50</v>
      </c>
      <c r="D764" s="36"/>
      <c r="E764" s="41"/>
      <c r="F764" s="41"/>
      <c r="G764" s="41"/>
      <c r="H764" s="36"/>
      <c r="I764" s="255"/>
      <c r="J764" s="61"/>
      <c r="K764" s="301" t="s">
        <v>172</v>
      </c>
      <c r="L764" s="62">
        <f>C746+C791</f>
        <v>95</v>
      </c>
      <c r="M764" s="61"/>
    </row>
    <row r="765" spans="1:12" s="9" customFormat="1" ht="30" customHeight="1">
      <c r="A765" s="58" t="s">
        <v>38</v>
      </c>
      <c r="B765" s="89">
        <f>B764*460/1000</f>
        <v>23</v>
      </c>
      <c r="C765" s="89">
        <f>C764*460/1000</f>
        <v>23</v>
      </c>
      <c r="D765" s="136"/>
      <c r="E765" s="44"/>
      <c r="F765" s="44"/>
      <c r="G765" s="44"/>
      <c r="H765" s="43"/>
      <c r="I765" s="255"/>
      <c r="K765" s="301" t="s">
        <v>174</v>
      </c>
      <c r="L765" s="17">
        <f>C810</f>
        <v>60</v>
      </c>
    </row>
    <row r="766" spans="1:12" s="9" customFormat="1" ht="30" customHeight="1">
      <c r="A766" s="58" t="s">
        <v>39</v>
      </c>
      <c r="B766" s="89">
        <f>B764*120/1000</f>
        <v>6</v>
      </c>
      <c r="C766" s="89">
        <f>C764*120/1000</f>
        <v>6</v>
      </c>
      <c r="D766" s="136"/>
      <c r="E766" s="44"/>
      <c r="F766" s="44"/>
      <c r="G766" s="44"/>
      <c r="H766" s="43"/>
      <c r="I766" s="255"/>
      <c r="K766" s="301" t="s">
        <v>173</v>
      </c>
      <c r="L766" s="17"/>
    </row>
    <row r="767" spans="1:12" s="9" customFormat="1" ht="30" customHeight="1">
      <c r="A767" s="181" t="s">
        <v>149</v>
      </c>
      <c r="B767" s="182">
        <f>B764-B765</f>
        <v>27</v>
      </c>
      <c r="C767" s="182">
        <f>C764-C765</f>
        <v>27</v>
      </c>
      <c r="D767" s="183"/>
      <c r="E767" s="184"/>
      <c r="F767" s="184"/>
      <c r="G767" s="184"/>
      <c r="H767" s="246"/>
      <c r="I767" s="255"/>
      <c r="K767" s="301" t="s">
        <v>175</v>
      </c>
      <c r="L767" s="17">
        <f>C774</f>
        <v>20</v>
      </c>
    </row>
    <row r="768" spans="1:12" s="9" customFormat="1" ht="30" customHeight="1">
      <c r="A768" s="181" t="s">
        <v>150</v>
      </c>
      <c r="B768" s="182">
        <f>B764-B766</f>
        <v>44</v>
      </c>
      <c r="C768" s="182">
        <f>C764-C766</f>
        <v>44</v>
      </c>
      <c r="D768" s="183"/>
      <c r="E768" s="184"/>
      <c r="F768" s="184"/>
      <c r="G768" s="184"/>
      <c r="H768" s="246"/>
      <c r="I768" s="254"/>
      <c r="K768" s="305" t="s">
        <v>80</v>
      </c>
      <c r="L768" s="17">
        <f>C764+C814</f>
        <v>68</v>
      </c>
    </row>
    <row r="769" spans="1:12" ht="30" customHeight="1">
      <c r="A769" s="330" t="s">
        <v>20</v>
      </c>
      <c r="B769" s="25">
        <v>20</v>
      </c>
      <c r="C769" s="25">
        <v>20</v>
      </c>
      <c r="D769" s="39">
        <v>20</v>
      </c>
      <c r="E769" s="342">
        <v>0.9</v>
      </c>
      <c r="F769" s="342">
        <v>0.2</v>
      </c>
      <c r="G769" s="342">
        <v>8.7</v>
      </c>
      <c r="H769" s="343">
        <v>41</v>
      </c>
      <c r="I769" s="344"/>
      <c r="K769" s="307" t="s">
        <v>176</v>
      </c>
      <c r="L769" s="62"/>
    </row>
    <row r="770" spans="1:11" ht="30" customHeight="1">
      <c r="A770" s="483" t="s">
        <v>74</v>
      </c>
      <c r="B770" s="483"/>
      <c r="C770" s="483"/>
      <c r="D770" s="39">
        <v>20</v>
      </c>
      <c r="E770" s="41"/>
      <c r="F770" s="41"/>
      <c r="G770" s="41"/>
      <c r="H770" s="41"/>
      <c r="K770" s="301" t="s">
        <v>177</v>
      </c>
    </row>
    <row r="771" spans="1:12" ht="30" customHeight="1">
      <c r="A771" s="203" t="s">
        <v>26</v>
      </c>
      <c r="B771" s="36">
        <v>20</v>
      </c>
      <c r="C771" s="36">
        <v>20</v>
      </c>
      <c r="D771" s="23">
        <v>20</v>
      </c>
      <c r="E771" s="109">
        <v>0.7</v>
      </c>
      <c r="F771" s="109">
        <v>0.2</v>
      </c>
      <c r="G771" s="109">
        <v>9.4</v>
      </c>
      <c r="H771" s="238">
        <v>41.3</v>
      </c>
      <c r="K771" s="301" t="s">
        <v>31</v>
      </c>
      <c r="L771" s="62">
        <f>C807</f>
        <v>5</v>
      </c>
    </row>
    <row r="772" spans="1:11" s="9" customFormat="1" ht="30" customHeight="1">
      <c r="A772" s="485" t="s">
        <v>57</v>
      </c>
      <c r="B772" s="485"/>
      <c r="C772" s="485"/>
      <c r="D772" s="245">
        <f>D773+270+95+D838+D847</f>
        <v>775</v>
      </c>
      <c r="E772" s="99">
        <f>E773+E790+E809+E838+E847+E850+E852</f>
        <v>27.55</v>
      </c>
      <c r="F772" s="99">
        <f>F773+F790+F809+F838+F847+F850+F852</f>
        <v>27.549999999999997</v>
      </c>
      <c r="G772" s="99">
        <f>G773+G790+G809+G838+G847+G850+G852</f>
        <v>106.55</v>
      </c>
      <c r="H772" s="96">
        <f>H773+H790+H809+H838+H847+H850+H852</f>
        <v>784.3499999999999</v>
      </c>
      <c r="I772" s="254"/>
      <c r="K772" s="301" t="s">
        <v>178</v>
      </c>
    </row>
    <row r="773" spans="1:12" s="9" customFormat="1" ht="30" customHeight="1">
      <c r="A773" s="469" t="s">
        <v>259</v>
      </c>
      <c r="B773" s="469"/>
      <c r="C773" s="469"/>
      <c r="D773" s="21">
        <v>60</v>
      </c>
      <c r="E773" s="44">
        <v>3.1</v>
      </c>
      <c r="F773" s="44">
        <v>5.8</v>
      </c>
      <c r="G773" s="44">
        <v>3.1</v>
      </c>
      <c r="H773" s="239">
        <f>G773*4+F773*9+E773*4</f>
        <v>77</v>
      </c>
      <c r="I773" s="231" t="s">
        <v>260</v>
      </c>
      <c r="J773" s="61"/>
      <c r="K773" s="301" t="s">
        <v>32</v>
      </c>
      <c r="L773" s="17">
        <f>C805+C822</f>
        <v>10</v>
      </c>
    </row>
    <row r="774" spans="1:12" s="9" customFormat="1" ht="30" customHeight="1">
      <c r="A774" s="155" t="s">
        <v>127</v>
      </c>
      <c r="B774" s="167">
        <f>C774*1.05</f>
        <v>21</v>
      </c>
      <c r="C774" s="29">
        <v>20</v>
      </c>
      <c r="D774" s="93"/>
      <c r="E774" s="93"/>
      <c r="F774" s="93"/>
      <c r="G774" s="134"/>
      <c r="H774" s="134"/>
      <c r="I774" s="254"/>
      <c r="K774" s="301" t="s">
        <v>33</v>
      </c>
      <c r="L774" s="17">
        <f>C784+C840+C821+C748</f>
        <v>19</v>
      </c>
    </row>
    <row r="775" spans="1:12" s="9" customFormat="1" ht="30" customHeight="1">
      <c r="A775" s="51" t="s">
        <v>17</v>
      </c>
      <c r="B775" s="40">
        <f>C775*1.25</f>
        <v>16.25</v>
      </c>
      <c r="C775" s="35">
        <v>13</v>
      </c>
      <c r="D775" s="5"/>
      <c r="E775" s="95"/>
      <c r="F775" s="95"/>
      <c r="G775" s="95"/>
      <c r="H775" s="276"/>
      <c r="I775" s="254"/>
      <c r="K775" s="301" t="s">
        <v>179</v>
      </c>
      <c r="L775" s="17">
        <f>C819</f>
        <v>6.5</v>
      </c>
    </row>
    <row r="776" spans="1:12" s="9" customFormat="1" ht="30" customHeight="1">
      <c r="A776" s="51" t="s">
        <v>16</v>
      </c>
      <c r="B776" s="40">
        <f>C776*1.33</f>
        <v>17.29</v>
      </c>
      <c r="C776" s="35">
        <v>13</v>
      </c>
      <c r="D776" s="5"/>
      <c r="E776" s="95"/>
      <c r="F776" s="95"/>
      <c r="G776" s="95"/>
      <c r="H776" s="276"/>
      <c r="I776" s="254"/>
      <c r="K776" s="301" t="s">
        <v>334</v>
      </c>
      <c r="L776" s="63"/>
    </row>
    <row r="777" spans="1:12" s="9" customFormat="1" ht="30" customHeight="1">
      <c r="A777" s="51" t="s">
        <v>60</v>
      </c>
      <c r="B777" s="40">
        <f>C777*1.25</f>
        <v>12.5</v>
      </c>
      <c r="C777" s="5">
        <v>10</v>
      </c>
      <c r="D777" s="276"/>
      <c r="E777" s="95"/>
      <c r="F777" s="95"/>
      <c r="G777" s="95"/>
      <c r="H777" s="95"/>
      <c r="I777" s="254"/>
      <c r="K777" s="301" t="s">
        <v>181</v>
      </c>
      <c r="L777" s="15">
        <v>1.5</v>
      </c>
    </row>
    <row r="778" spans="1:12" s="9" customFormat="1" ht="30" customHeight="1">
      <c r="A778" s="51" t="s">
        <v>16</v>
      </c>
      <c r="B778" s="40">
        <f>C778*1.33</f>
        <v>13.3</v>
      </c>
      <c r="C778" s="5">
        <v>10</v>
      </c>
      <c r="D778" s="276"/>
      <c r="E778" s="95"/>
      <c r="F778" s="95"/>
      <c r="G778" s="95"/>
      <c r="H778" s="95"/>
      <c r="I778" s="254"/>
      <c r="J778" s="61"/>
      <c r="K778" s="301" t="s">
        <v>180</v>
      </c>
      <c r="L778" s="15">
        <v>1</v>
      </c>
    </row>
    <row r="779" spans="1:10" s="9" customFormat="1" ht="30" customHeight="1">
      <c r="A779" s="51" t="s">
        <v>12</v>
      </c>
      <c r="B779" s="35">
        <f>C779*1.33</f>
        <v>17.29</v>
      </c>
      <c r="C779" s="32">
        <v>13</v>
      </c>
      <c r="D779" s="21"/>
      <c r="E779" s="21"/>
      <c r="F779" s="21"/>
      <c r="G779" s="134"/>
      <c r="H779" s="134"/>
      <c r="I779" s="254"/>
      <c r="J779" s="171"/>
    </row>
    <row r="780" spans="1:11" s="9" customFormat="1" ht="30" customHeight="1">
      <c r="A780" s="51" t="s">
        <v>13</v>
      </c>
      <c r="B780" s="35">
        <f>C780*1.43</f>
        <v>18.59</v>
      </c>
      <c r="C780" s="32">
        <v>13</v>
      </c>
      <c r="D780" s="21"/>
      <c r="E780" s="21"/>
      <c r="F780" s="21"/>
      <c r="G780" s="134"/>
      <c r="H780" s="134"/>
      <c r="I780" s="254"/>
      <c r="K780" s="313"/>
    </row>
    <row r="781" spans="1:11" s="9" customFormat="1" ht="30" customHeight="1">
      <c r="A781" s="51" t="s">
        <v>14</v>
      </c>
      <c r="B781" s="35">
        <f>C781*1.54</f>
        <v>20.02</v>
      </c>
      <c r="C781" s="32">
        <v>13</v>
      </c>
      <c r="D781" s="21"/>
      <c r="E781" s="21"/>
      <c r="F781" s="21"/>
      <c r="G781" s="134"/>
      <c r="H781" s="134"/>
      <c r="I781" s="254"/>
      <c r="K781" s="313"/>
    </row>
    <row r="782" spans="1:11" s="9" customFormat="1" ht="30" customHeight="1">
      <c r="A782" s="53" t="s">
        <v>15</v>
      </c>
      <c r="B782" s="35">
        <f>C782*1.67</f>
        <v>21.71</v>
      </c>
      <c r="C782" s="32">
        <v>13</v>
      </c>
      <c r="D782" s="5"/>
      <c r="E782" s="157"/>
      <c r="F782" s="157"/>
      <c r="G782" s="134"/>
      <c r="H782" s="134"/>
      <c r="I782" s="255"/>
      <c r="K782" s="313"/>
    </row>
    <row r="783" spans="1:11" s="9" customFormat="1" ht="30" customHeight="1">
      <c r="A783" s="51" t="s">
        <v>18</v>
      </c>
      <c r="B783" s="22">
        <f>C783*1.19</f>
        <v>7.14</v>
      </c>
      <c r="C783" s="32">
        <v>6</v>
      </c>
      <c r="D783" s="5"/>
      <c r="E783" s="157"/>
      <c r="F783" s="157"/>
      <c r="G783" s="134"/>
      <c r="H783" s="134"/>
      <c r="I783" s="255"/>
      <c r="J783" s="61"/>
      <c r="K783" s="313"/>
    </row>
    <row r="784" spans="1:11" s="9" customFormat="1" ht="30" customHeight="1">
      <c r="A784" s="51" t="s">
        <v>11</v>
      </c>
      <c r="B784" s="5">
        <v>3</v>
      </c>
      <c r="C784" s="5">
        <v>3</v>
      </c>
      <c r="D784" s="5"/>
      <c r="E784" s="157"/>
      <c r="F784" s="157"/>
      <c r="G784" s="134"/>
      <c r="H784" s="134"/>
      <c r="I784" s="255"/>
      <c r="K784" s="313"/>
    </row>
    <row r="785" spans="1:11" s="9" customFormat="1" ht="30" customHeight="1">
      <c r="A785" s="468" t="s">
        <v>69</v>
      </c>
      <c r="B785" s="468"/>
      <c r="C785" s="468"/>
      <c r="D785" s="468"/>
      <c r="E785" s="468"/>
      <c r="F785" s="468"/>
      <c r="G785" s="468"/>
      <c r="H785" s="468"/>
      <c r="I785" s="468"/>
      <c r="K785" s="313"/>
    </row>
    <row r="786" spans="1:11" s="9" customFormat="1" ht="30" customHeight="1">
      <c r="A786" s="499" t="s">
        <v>335</v>
      </c>
      <c r="B786" s="499"/>
      <c r="C786" s="499"/>
      <c r="D786" s="23">
        <v>60</v>
      </c>
      <c r="E786" s="109">
        <v>0.6</v>
      </c>
      <c r="F786" s="109">
        <v>3</v>
      </c>
      <c r="G786" s="109">
        <v>2.1</v>
      </c>
      <c r="H786" s="238">
        <f>E786*4+F786*9+G786*4</f>
        <v>37.8</v>
      </c>
      <c r="I786" s="232" t="s">
        <v>336</v>
      </c>
      <c r="K786" s="313"/>
    </row>
    <row r="787" spans="1:12" s="9" customFormat="1" ht="30" customHeight="1">
      <c r="A787" s="56" t="s">
        <v>98</v>
      </c>
      <c r="B787" s="90">
        <f>C787*1.02</f>
        <v>59.160000000000004</v>
      </c>
      <c r="C787" s="60">
        <v>58</v>
      </c>
      <c r="D787" s="224"/>
      <c r="E787" s="109"/>
      <c r="F787" s="109"/>
      <c r="G787" s="109"/>
      <c r="H787" s="109"/>
      <c r="I787" s="232"/>
      <c r="K787" s="313"/>
      <c r="L787" s="61"/>
    </row>
    <row r="788" spans="1:11" s="9" customFormat="1" ht="30" customHeight="1">
      <c r="A788" s="57" t="s">
        <v>270</v>
      </c>
      <c r="B788" s="141">
        <f>C788*1.18</f>
        <v>68.44</v>
      </c>
      <c r="C788" s="60">
        <v>58</v>
      </c>
      <c r="D788" s="224"/>
      <c r="E788" s="109"/>
      <c r="F788" s="109"/>
      <c r="G788" s="109"/>
      <c r="H788" s="109"/>
      <c r="I788" s="232"/>
      <c r="K788" s="313"/>
    </row>
    <row r="789" spans="1:11" s="9" customFormat="1" ht="30" customHeight="1">
      <c r="A789" s="241" t="s">
        <v>119</v>
      </c>
      <c r="B789" s="242">
        <v>3</v>
      </c>
      <c r="C789" s="242">
        <v>3</v>
      </c>
      <c r="D789" s="224"/>
      <c r="E789" s="109"/>
      <c r="F789" s="109"/>
      <c r="G789" s="109"/>
      <c r="H789" s="109"/>
      <c r="I789" s="232"/>
      <c r="K789" s="313"/>
    </row>
    <row r="790" spans="1:11" s="9" customFormat="1" ht="30" customHeight="1">
      <c r="A790" s="476" t="s">
        <v>402</v>
      </c>
      <c r="B790" s="476"/>
      <c r="C790" s="476"/>
      <c r="D790" s="23" t="s">
        <v>152</v>
      </c>
      <c r="E790" s="109">
        <v>7.5</v>
      </c>
      <c r="F790" s="109">
        <v>4.9</v>
      </c>
      <c r="G790" s="109">
        <v>12.1</v>
      </c>
      <c r="H790" s="375">
        <f>E790*4+F790*9+G790*4</f>
        <v>122.5</v>
      </c>
      <c r="I790" s="235" t="s">
        <v>403</v>
      </c>
      <c r="K790" s="313"/>
    </row>
    <row r="791" spans="1:12" s="9" customFormat="1" ht="30" customHeight="1">
      <c r="A791" s="86" t="s">
        <v>86</v>
      </c>
      <c r="B791" s="27">
        <f>C791*1.36</f>
        <v>21.76</v>
      </c>
      <c r="C791" s="5">
        <v>16</v>
      </c>
      <c r="D791" s="228"/>
      <c r="E791" s="85"/>
      <c r="F791" s="85"/>
      <c r="G791" s="85"/>
      <c r="H791" s="240"/>
      <c r="I791" s="378"/>
      <c r="K791" s="313"/>
      <c r="L791" s="61"/>
    </row>
    <row r="792" spans="1:12" s="9" customFormat="1" ht="30" customHeight="1">
      <c r="A792" s="86" t="s">
        <v>87</v>
      </c>
      <c r="B792" s="27">
        <f>C792*1.18</f>
        <v>18.88</v>
      </c>
      <c r="C792" s="5">
        <v>16</v>
      </c>
      <c r="D792" s="228"/>
      <c r="E792" s="85"/>
      <c r="F792" s="85"/>
      <c r="G792" s="85"/>
      <c r="H792" s="240"/>
      <c r="I792" s="378"/>
      <c r="K792" s="313"/>
      <c r="L792" s="15"/>
    </row>
    <row r="793" spans="1:12" s="9" customFormat="1" ht="30" customHeight="1">
      <c r="A793" s="56" t="s">
        <v>406</v>
      </c>
      <c r="B793" s="90">
        <f>C793*1.25</f>
        <v>56.25</v>
      </c>
      <c r="C793" s="60">
        <v>45</v>
      </c>
      <c r="D793" s="23"/>
      <c r="E793" s="109"/>
      <c r="F793" s="109"/>
      <c r="G793" s="109"/>
      <c r="H793" s="23"/>
      <c r="I793" s="389"/>
      <c r="J793" s="61"/>
      <c r="K793" s="312"/>
      <c r="L793" s="15"/>
    </row>
    <row r="794" spans="1:12" s="9" customFormat="1" ht="30" customHeight="1">
      <c r="A794" s="56" t="s">
        <v>16</v>
      </c>
      <c r="B794" s="90">
        <f>C794*1.33</f>
        <v>59.85</v>
      </c>
      <c r="C794" s="60">
        <v>45</v>
      </c>
      <c r="D794" s="23"/>
      <c r="E794" s="109"/>
      <c r="F794" s="109"/>
      <c r="G794" s="109"/>
      <c r="H794" s="238"/>
      <c r="I794" s="389"/>
      <c r="K794" s="313"/>
      <c r="L794" s="172"/>
    </row>
    <row r="795" spans="1:12" s="9" customFormat="1" ht="30" customHeight="1">
      <c r="A795" s="56" t="s">
        <v>244</v>
      </c>
      <c r="B795" s="37">
        <f>C795*1.25</f>
        <v>27.5</v>
      </c>
      <c r="C795" s="60">
        <v>22</v>
      </c>
      <c r="D795" s="23"/>
      <c r="E795" s="109"/>
      <c r="F795" s="109"/>
      <c r="G795" s="109"/>
      <c r="H795" s="238"/>
      <c r="I795" s="389"/>
      <c r="K795" s="313"/>
      <c r="L795" s="172"/>
    </row>
    <row r="796" spans="1:12" s="9" customFormat="1" ht="30" customHeight="1">
      <c r="A796" s="56" t="s">
        <v>12</v>
      </c>
      <c r="B796" s="37">
        <f>C796*1.33</f>
        <v>19.950000000000003</v>
      </c>
      <c r="C796" s="60">
        <v>15</v>
      </c>
      <c r="D796" s="23"/>
      <c r="E796" s="109"/>
      <c r="F796" s="109"/>
      <c r="G796" s="109"/>
      <c r="H796" s="238"/>
      <c r="I796" s="389"/>
      <c r="K796" s="313"/>
      <c r="L796" s="172"/>
    </row>
    <row r="797" spans="1:12" s="9" customFormat="1" ht="30" customHeight="1">
      <c r="A797" s="56" t="s">
        <v>13</v>
      </c>
      <c r="B797" s="37">
        <f>C797*1.43</f>
        <v>21.45</v>
      </c>
      <c r="C797" s="60">
        <v>15</v>
      </c>
      <c r="D797" s="23"/>
      <c r="E797" s="109"/>
      <c r="F797" s="109"/>
      <c r="G797" s="109"/>
      <c r="H797" s="238"/>
      <c r="I797" s="389"/>
      <c r="K797" s="313"/>
      <c r="L797" s="15"/>
    </row>
    <row r="798" spans="1:12" s="9" customFormat="1" ht="30" customHeight="1">
      <c r="A798" s="56" t="s">
        <v>14</v>
      </c>
      <c r="B798" s="37">
        <f>C798*1.54</f>
        <v>23.1</v>
      </c>
      <c r="C798" s="60">
        <v>15</v>
      </c>
      <c r="D798" s="23"/>
      <c r="E798" s="109"/>
      <c r="F798" s="109"/>
      <c r="G798" s="109"/>
      <c r="H798" s="238"/>
      <c r="I798" s="389"/>
      <c r="K798" s="313"/>
      <c r="L798" s="15"/>
    </row>
    <row r="799" spans="1:12" s="9" customFormat="1" ht="30" customHeight="1">
      <c r="A799" s="56" t="s">
        <v>15</v>
      </c>
      <c r="B799" s="37">
        <f>C799*1.67</f>
        <v>25.049999999999997</v>
      </c>
      <c r="C799" s="60">
        <v>15</v>
      </c>
      <c r="D799" s="23"/>
      <c r="E799" s="109"/>
      <c r="F799" s="109"/>
      <c r="G799" s="109"/>
      <c r="H799" s="238"/>
      <c r="I799" s="389"/>
      <c r="K799" s="313"/>
      <c r="L799" s="15"/>
    </row>
    <row r="800" spans="1:12" s="9" customFormat="1" ht="30" customHeight="1">
      <c r="A800" s="56" t="s">
        <v>404</v>
      </c>
      <c r="B800" s="90">
        <v>15</v>
      </c>
      <c r="C800" s="60">
        <v>15</v>
      </c>
      <c r="D800" s="23"/>
      <c r="E800" s="109"/>
      <c r="F800" s="109"/>
      <c r="G800" s="109"/>
      <c r="H800" s="238"/>
      <c r="I800" s="389"/>
      <c r="K800" s="313"/>
      <c r="L800" s="15"/>
    </row>
    <row r="801" spans="1:12" s="9" customFormat="1" ht="30" customHeight="1">
      <c r="A801" s="56" t="s">
        <v>362</v>
      </c>
      <c r="B801" s="37">
        <f>C801*1.25</f>
        <v>18.75</v>
      </c>
      <c r="C801" s="60">
        <v>15</v>
      </c>
      <c r="D801" s="23"/>
      <c r="E801" s="109"/>
      <c r="F801" s="109"/>
      <c r="G801" s="109"/>
      <c r="H801" s="238"/>
      <c r="I801" s="389"/>
      <c r="K801" s="313"/>
      <c r="L801" s="15"/>
    </row>
    <row r="802" spans="1:12" s="9" customFormat="1" ht="30" customHeight="1">
      <c r="A802" s="54" t="s">
        <v>16</v>
      </c>
      <c r="B802" s="90">
        <f>C802*1.33</f>
        <v>19.950000000000003</v>
      </c>
      <c r="C802" s="60">
        <v>15</v>
      </c>
      <c r="D802" s="23"/>
      <c r="E802" s="109"/>
      <c r="F802" s="109"/>
      <c r="G802" s="109"/>
      <c r="H802" s="238"/>
      <c r="I802" s="389"/>
      <c r="K802" s="313"/>
      <c r="L802" s="15"/>
    </row>
    <row r="803" spans="1:12" s="9" customFormat="1" ht="30" customHeight="1">
      <c r="A803" s="54" t="s">
        <v>18</v>
      </c>
      <c r="B803" s="37">
        <f>C803*1.19</f>
        <v>11.899999999999999</v>
      </c>
      <c r="C803" s="60">
        <v>10</v>
      </c>
      <c r="D803" s="23"/>
      <c r="E803" s="109"/>
      <c r="F803" s="109"/>
      <c r="G803" s="109"/>
      <c r="H803" s="238"/>
      <c r="I803" s="389"/>
      <c r="K803" s="313"/>
      <c r="L803" s="15"/>
    </row>
    <row r="804" spans="1:12" s="9" customFormat="1" ht="30" customHeight="1">
      <c r="A804" s="56" t="s">
        <v>405</v>
      </c>
      <c r="B804" s="90">
        <v>3</v>
      </c>
      <c r="C804" s="90">
        <v>3</v>
      </c>
      <c r="D804" s="23"/>
      <c r="E804" s="109"/>
      <c r="F804" s="109"/>
      <c r="G804" s="109"/>
      <c r="H804" s="238"/>
      <c r="I804" s="389"/>
      <c r="K804" s="313"/>
      <c r="L804" s="15"/>
    </row>
    <row r="805" spans="1:12" s="9" customFormat="1" ht="30" customHeight="1">
      <c r="A805" s="56" t="s">
        <v>19</v>
      </c>
      <c r="B805" s="90">
        <v>5</v>
      </c>
      <c r="C805" s="90">
        <v>5</v>
      </c>
      <c r="D805" s="23"/>
      <c r="E805" s="109"/>
      <c r="F805" s="109"/>
      <c r="G805" s="109"/>
      <c r="H805" s="238"/>
      <c r="I805" s="389"/>
      <c r="K805" s="313"/>
      <c r="L805" s="15"/>
    </row>
    <row r="806" spans="1:12" s="9" customFormat="1" ht="30" customHeight="1">
      <c r="A806" s="56" t="s">
        <v>4</v>
      </c>
      <c r="B806" s="234">
        <v>0.5</v>
      </c>
      <c r="C806" s="234">
        <v>0.5</v>
      </c>
      <c r="D806" s="23"/>
      <c r="E806" s="109"/>
      <c r="F806" s="109"/>
      <c r="G806" s="109"/>
      <c r="H806" s="238"/>
      <c r="I806" s="389"/>
      <c r="J806" s="61"/>
      <c r="K806" s="312"/>
      <c r="L806" s="15"/>
    </row>
    <row r="807" spans="1:12" s="9" customFormat="1" ht="30" customHeight="1">
      <c r="A807" s="56" t="s">
        <v>56</v>
      </c>
      <c r="B807" s="60">
        <v>5</v>
      </c>
      <c r="C807" s="60">
        <v>5</v>
      </c>
      <c r="D807" s="20"/>
      <c r="E807" s="44"/>
      <c r="F807" s="44"/>
      <c r="G807" s="44"/>
      <c r="H807" s="274"/>
      <c r="I807" s="254"/>
      <c r="K807" s="313"/>
      <c r="L807" s="15"/>
    </row>
    <row r="808" spans="1:12" s="9" customFormat="1" ht="30" customHeight="1">
      <c r="A808" s="56" t="s">
        <v>72</v>
      </c>
      <c r="B808" s="140">
        <v>0.2</v>
      </c>
      <c r="C808" s="140">
        <v>0.2</v>
      </c>
      <c r="D808" s="228"/>
      <c r="E808" s="85"/>
      <c r="F808" s="85"/>
      <c r="G808" s="85"/>
      <c r="H808" s="240"/>
      <c r="I808" s="255"/>
      <c r="K808" s="313"/>
      <c r="L808" s="15"/>
    </row>
    <row r="809" spans="1:12" s="9" customFormat="1" ht="30" customHeight="1">
      <c r="A809" s="476" t="s">
        <v>431</v>
      </c>
      <c r="B809" s="476"/>
      <c r="C809" s="476"/>
      <c r="D809" s="23" t="s">
        <v>229</v>
      </c>
      <c r="E809" s="83">
        <v>8.6</v>
      </c>
      <c r="F809" s="83">
        <v>12</v>
      </c>
      <c r="G809" s="83">
        <v>10</v>
      </c>
      <c r="H809" s="43">
        <f>E809*4+F809*9+G809*4</f>
        <v>182.4</v>
      </c>
      <c r="I809" s="357" t="s">
        <v>411</v>
      </c>
      <c r="K809" s="313"/>
      <c r="L809" s="15"/>
    </row>
    <row r="810" spans="1:12" s="9" customFormat="1" ht="30" customHeight="1">
      <c r="A810" s="419" t="s">
        <v>412</v>
      </c>
      <c r="B810" s="114">
        <f>C810*1.054</f>
        <v>63.24</v>
      </c>
      <c r="C810" s="143">
        <v>60</v>
      </c>
      <c r="D810" s="219"/>
      <c r="E810" s="95"/>
      <c r="F810" s="95"/>
      <c r="G810" s="95"/>
      <c r="H810" s="87"/>
      <c r="I810" s="255"/>
      <c r="K810" s="313"/>
      <c r="L810" s="15"/>
    </row>
    <row r="811" spans="1:12" s="9" customFormat="1" ht="30" customHeight="1">
      <c r="A811" s="112" t="s">
        <v>413</v>
      </c>
      <c r="B811" s="48">
        <f>C811*1.47</f>
        <v>88.2</v>
      </c>
      <c r="C811" s="428">
        <v>60</v>
      </c>
      <c r="D811" s="157"/>
      <c r="E811" s="429"/>
      <c r="F811" s="429"/>
      <c r="G811" s="429"/>
      <c r="H811" s="430"/>
      <c r="I811" s="429"/>
      <c r="K811" s="313"/>
      <c r="L811" s="15"/>
    </row>
    <row r="812" spans="1:12" s="9" customFormat="1" ht="30" customHeight="1">
      <c r="A812" s="53" t="s">
        <v>10</v>
      </c>
      <c r="B812" s="36">
        <v>17</v>
      </c>
      <c r="C812" s="36">
        <v>17</v>
      </c>
      <c r="D812" s="431"/>
      <c r="E812" s="41"/>
      <c r="F812" s="41"/>
      <c r="G812" s="41"/>
      <c r="H812" s="37"/>
      <c r="I812" s="266"/>
      <c r="K812" s="313"/>
      <c r="L812" s="15"/>
    </row>
    <row r="813" spans="1:12" s="9" customFormat="1" ht="30" customHeight="1">
      <c r="A813" s="53" t="s">
        <v>18</v>
      </c>
      <c r="B813" s="37">
        <f>C813*1.19</f>
        <v>9.52</v>
      </c>
      <c r="C813" s="37">
        <v>8</v>
      </c>
      <c r="D813" s="431"/>
      <c r="E813" s="41"/>
      <c r="F813" s="41"/>
      <c r="G813" s="41"/>
      <c r="H813" s="37"/>
      <c r="I813" s="271"/>
      <c r="K813" s="313"/>
      <c r="L813" s="15"/>
    </row>
    <row r="814" spans="1:12" s="9" customFormat="1" ht="30" customHeight="1">
      <c r="A814" s="53" t="s">
        <v>52</v>
      </c>
      <c r="B814" s="36">
        <v>18</v>
      </c>
      <c r="C814" s="36">
        <v>18</v>
      </c>
      <c r="D814" s="431"/>
      <c r="E814" s="41"/>
      <c r="F814" s="41"/>
      <c r="G814" s="41"/>
      <c r="H814" s="37"/>
      <c r="I814" s="266"/>
      <c r="K814" s="313"/>
      <c r="L814" s="15"/>
    </row>
    <row r="815" spans="1:12" s="9" customFormat="1" ht="30" customHeight="1">
      <c r="A815" s="58" t="s">
        <v>38</v>
      </c>
      <c r="B815" s="89">
        <f>B814*460/1000</f>
        <v>8.28</v>
      </c>
      <c r="C815" s="89">
        <f>C814*460/1000</f>
        <v>8.28</v>
      </c>
      <c r="D815" s="157"/>
      <c r="E815" s="41"/>
      <c r="F815" s="41"/>
      <c r="G815" s="41"/>
      <c r="H815" s="37"/>
      <c r="I815" s="266"/>
      <c r="K815" s="313"/>
      <c r="L815" s="15"/>
    </row>
    <row r="816" spans="1:12" s="9" customFormat="1" ht="30" customHeight="1">
      <c r="A816" s="58" t="s">
        <v>39</v>
      </c>
      <c r="B816" s="89">
        <f>B814*120/1000</f>
        <v>2.16</v>
      </c>
      <c r="C816" s="89">
        <f>C814*120/1000</f>
        <v>2.16</v>
      </c>
      <c r="D816" s="157"/>
      <c r="E816" s="41"/>
      <c r="F816" s="41"/>
      <c r="G816" s="41"/>
      <c r="H816" s="37"/>
      <c r="I816" s="266"/>
      <c r="K816" s="313"/>
      <c r="L816" s="15"/>
    </row>
    <row r="817" spans="1:12" s="9" customFormat="1" ht="30" customHeight="1">
      <c r="A817" s="181" t="s">
        <v>149</v>
      </c>
      <c r="B817" s="182">
        <f>B814-B815</f>
        <v>9.72</v>
      </c>
      <c r="C817" s="182">
        <f>C814-C815</f>
        <v>9.72</v>
      </c>
      <c r="D817" s="157"/>
      <c r="E817" s="41"/>
      <c r="F817" s="41"/>
      <c r="G817" s="41"/>
      <c r="H817" s="37"/>
      <c r="I817" s="266"/>
      <c r="K817" s="313"/>
      <c r="L817" s="15"/>
    </row>
    <row r="818" spans="1:12" s="9" customFormat="1" ht="30" customHeight="1">
      <c r="A818" s="181" t="s">
        <v>150</v>
      </c>
      <c r="B818" s="182">
        <f>B814-B816</f>
        <v>15.84</v>
      </c>
      <c r="C818" s="182">
        <f>C814-C816</f>
        <v>15.84</v>
      </c>
      <c r="D818" s="157"/>
      <c r="E818" s="41"/>
      <c r="F818" s="41"/>
      <c r="G818" s="41"/>
      <c r="H818" s="37"/>
      <c r="I818" s="266"/>
      <c r="K818" s="313"/>
      <c r="L818" s="15"/>
    </row>
    <row r="819" spans="1:12" s="9" customFormat="1" ht="30" customHeight="1">
      <c r="A819" s="53" t="s">
        <v>84</v>
      </c>
      <c r="B819" s="36">
        <v>6.5</v>
      </c>
      <c r="C819" s="36">
        <v>6.5</v>
      </c>
      <c r="D819" s="157"/>
      <c r="E819" s="41"/>
      <c r="F819" s="41"/>
      <c r="G819" s="41"/>
      <c r="H819" s="37"/>
      <c r="I819" s="266"/>
      <c r="K819" s="313"/>
      <c r="L819" s="15"/>
    </row>
    <row r="820" spans="1:12" s="9" customFormat="1" ht="30" customHeight="1">
      <c r="A820" s="53" t="s">
        <v>21</v>
      </c>
      <c r="B820" s="36">
        <v>5.5</v>
      </c>
      <c r="C820" s="36">
        <v>5.5</v>
      </c>
      <c r="D820" s="431"/>
      <c r="E820" s="41"/>
      <c r="F820" s="41"/>
      <c r="G820" s="41"/>
      <c r="H820" s="37"/>
      <c r="I820" s="266"/>
      <c r="K820" s="313"/>
      <c r="L820" s="15"/>
    </row>
    <row r="821" spans="1:12" s="9" customFormat="1" ht="30" customHeight="1">
      <c r="A821" s="53" t="s">
        <v>11</v>
      </c>
      <c r="B821" s="36">
        <v>2</v>
      </c>
      <c r="C821" s="36">
        <v>2</v>
      </c>
      <c r="D821" s="157"/>
      <c r="E821" s="41"/>
      <c r="F821" s="41"/>
      <c r="G821" s="41"/>
      <c r="H821" s="37"/>
      <c r="I821" s="266"/>
      <c r="K821" s="313"/>
      <c r="L821" s="15"/>
    </row>
    <row r="822" spans="1:12" s="9" customFormat="1" ht="30" customHeight="1">
      <c r="A822" s="51" t="s">
        <v>37</v>
      </c>
      <c r="B822" s="5">
        <v>5</v>
      </c>
      <c r="C822" s="5">
        <v>5</v>
      </c>
      <c r="D822" s="157"/>
      <c r="E822" s="41"/>
      <c r="F822" s="41"/>
      <c r="G822" s="41"/>
      <c r="H822" s="37"/>
      <c r="I822" s="266"/>
      <c r="K822" s="313"/>
      <c r="L822" s="15"/>
    </row>
    <row r="823" spans="1:12" ht="30" customHeight="1">
      <c r="A823" s="468" t="s">
        <v>69</v>
      </c>
      <c r="B823" s="486"/>
      <c r="C823" s="486"/>
      <c r="D823" s="486"/>
      <c r="E823" s="486"/>
      <c r="F823" s="486"/>
      <c r="G823" s="486"/>
      <c r="H823" s="486"/>
      <c r="I823" s="262"/>
      <c r="L823" s="70"/>
    </row>
    <row r="824" spans="1:12" s="9" customFormat="1" ht="30" customHeight="1">
      <c r="A824" s="469" t="s">
        <v>231</v>
      </c>
      <c r="B824" s="469"/>
      <c r="C824" s="469"/>
      <c r="D824" s="21" t="s">
        <v>229</v>
      </c>
      <c r="E824" s="44">
        <v>13.3</v>
      </c>
      <c r="F824" s="44">
        <v>12.9</v>
      </c>
      <c r="G824" s="44">
        <v>10.8</v>
      </c>
      <c r="H824" s="43">
        <f>G824*4+F824*9+E824*4</f>
        <v>212.5</v>
      </c>
      <c r="I824" s="256" t="s">
        <v>227</v>
      </c>
      <c r="K824" s="313"/>
      <c r="L824" s="15"/>
    </row>
    <row r="825" spans="1:12" s="9" customFormat="1" ht="30" customHeight="1">
      <c r="A825" s="86" t="s">
        <v>86</v>
      </c>
      <c r="B825" s="48">
        <f>C825*1.36</f>
        <v>91.12</v>
      </c>
      <c r="C825" s="5">
        <v>67</v>
      </c>
      <c r="D825" s="36"/>
      <c r="E825" s="95"/>
      <c r="F825" s="44"/>
      <c r="G825" s="44"/>
      <c r="H825" s="43"/>
      <c r="I825" s="255"/>
      <c r="K825" s="313"/>
      <c r="L825" s="15"/>
    </row>
    <row r="826" spans="1:12" s="9" customFormat="1" ht="30" customHeight="1">
      <c r="A826" s="86" t="s">
        <v>87</v>
      </c>
      <c r="B826" s="48">
        <f>C826*1.18</f>
        <v>79.06</v>
      </c>
      <c r="C826" s="35">
        <v>67</v>
      </c>
      <c r="D826" s="36"/>
      <c r="E826" s="44"/>
      <c r="F826" s="44"/>
      <c r="G826" s="44"/>
      <c r="H826" s="43"/>
      <c r="I826" s="255"/>
      <c r="K826" s="313"/>
      <c r="L826" s="15"/>
    </row>
    <row r="827" spans="1:12" s="9" customFormat="1" ht="30" customHeight="1">
      <c r="A827" s="51" t="s">
        <v>10</v>
      </c>
      <c r="B827" s="5">
        <v>14</v>
      </c>
      <c r="C827" s="5">
        <v>14</v>
      </c>
      <c r="D827" s="36"/>
      <c r="E827" s="95"/>
      <c r="F827" s="95"/>
      <c r="G827" s="95"/>
      <c r="H827" s="43"/>
      <c r="I827" s="254"/>
      <c r="K827" s="313"/>
      <c r="L827" s="15"/>
    </row>
    <row r="828" spans="1:13" s="9" customFormat="1" ht="30" customHeight="1">
      <c r="A828" s="53" t="s">
        <v>230</v>
      </c>
      <c r="B828" s="36">
        <v>11</v>
      </c>
      <c r="C828" s="36">
        <v>11</v>
      </c>
      <c r="D828" s="36"/>
      <c r="E828" s="41"/>
      <c r="F828" s="41"/>
      <c r="G828" s="41"/>
      <c r="H828" s="41"/>
      <c r="I828" s="255"/>
      <c r="J828" s="61"/>
      <c r="K828" s="312"/>
      <c r="L828" s="70"/>
      <c r="M828" s="61"/>
    </row>
    <row r="829" spans="1:12" s="9" customFormat="1" ht="30" customHeight="1">
      <c r="A829" s="58" t="s">
        <v>38</v>
      </c>
      <c r="B829" s="89">
        <f>B828*460/1000</f>
        <v>5.06</v>
      </c>
      <c r="C829" s="89">
        <f>C828*460/1000</f>
        <v>5.06</v>
      </c>
      <c r="D829" s="36"/>
      <c r="E829" s="95"/>
      <c r="F829" s="95"/>
      <c r="G829" s="95"/>
      <c r="H829" s="95"/>
      <c r="I829" s="254"/>
      <c r="K829" s="313"/>
      <c r="L829" s="15"/>
    </row>
    <row r="830" spans="1:12" s="9" customFormat="1" ht="30" customHeight="1">
      <c r="A830" s="58" t="s">
        <v>39</v>
      </c>
      <c r="B830" s="89">
        <f>B828*120/1000</f>
        <v>1.32</v>
      </c>
      <c r="C830" s="89">
        <f>C828*120/1000</f>
        <v>1.32</v>
      </c>
      <c r="D830" s="36"/>
      <c r="E830" s="95"/>
      <c r="F830" s="95"/>
      <c r="G830" s="95"/>
      <c r="H830" s="95"/>
      <c r="I830" s="254"/>
      <c r="K830" s="313"/>
      <c r="L830" s="15"/>
    </row>
    <row r="831" spans="1:12" s="9" customFormat="1" ht="30" customHeight="1">
      <c r="A831" s="181" t="s">
        <v>149</v>
      </c>
      <c r="B831" s="182">
        <f>B828-B829</f>
        <v>5.94</v>
      </c>
      <c r="C831" s="182">
        <f>C828-C829</f>
        <v>5.94</v>
      </c>
      <c r="D831" s="36"/>
      <c r="E831" s="95"/>
      <c r="F831" s="95"/>
      <c r="G831" s="95"/>
      <c r="H831" s="95"/>
      <c r="I831" s="254"/>
      <c r="K831" s="313"/>
      <c r="L831" s="15"/>
    </row>
    <row r="832" spans="1:12" s="9" customFormat="1" ht="30" customHeight="1">
      <c r="A832" s="181" t="s">
        <v>150</v>
      </c>
      <c r="B832" s="182">
        <f>B828-B830</f>
        <v>9.68</v>
      </c>
      <c r="C832" s="182">
        <f>C828-C830</f>
        <v>9.68</v>
      </c>
      <c r="D832" s="36"/>
      <c r="E832" s="95"/>
      <c r="F832" s="95"/>
      <c r="G832" s="95"/>
      <c r="H832" s="95"/>
      <c r="I832" s="254"/>
      <c r="K832" s="313"/>
      <c r="L832" s="15"/>
    </row>
    <row r="833" spans="1:12" s="9" customFormat="1" ht="30" customHeight="1">
      <c r="A833" s="53" t="s">
        <v>18</v>
      </c>
      <c r="B833" s="37">
        <f>C833*1.19</f>
        <v>8.33</v>
      </c>
      <c r="C833" s="36">
        <v>7</v>
      </c>
      <c r="D833" s="36"/>
      <c r="E833" s="95"/>
      <c r="F833" s="44"/>
      <c r="G833" s="44"/>
      <c r="H833" s="274"/>
      <c r="I833" s="254"/>
      <c r="K833" s="313"/>
      <c r="L833" s="15"/>
    </row>
    <row r="834" spans="1:12" s="9" customFormat="1" ht="30" customHeight="1">
      <c r="A834" s="53" t="s">
        <v>84</v>
      </c>
      <c r="B834" s="225">
        <v>3.5</v>
      </c>
      <c r="C834" s="225">
        <v>3.5</v>
      </c>
      <c r="D834" s="36"/>
      <c r="E834" s="95"/>
      <c r="F834" s="95"/>
      <c r="G834" s="95"/>
      <c r="H834" s="248"/>
      <c r="I834" s="254"/>
      <c r="K834" s="313"/>
      <c r="L834" s="15"/>
    </row>
    <row r="835" spans="1:12" s="9" customFormat="1" ht="30" customHeight="1">
      <c r="A835" s="53" t="s">
        <v>165</v>
      </c>
      <c r="B835" s="225">
        <v>7</v>
      </c>
      <c r="C835" s="225">
        <v>7</v>
      </c>
      <c r="D835" s="36"/>
      <c r="E835" s="95"/>
      <c r="F835" s="95"/>
      <c r="G835" s="95"/>
      <c r="H835" s="248"/>
      <c r="I835" s="254"/>
      <c r="K835" s="313"/>
      <c r="L835" s="15"/>
    </row>
    <row r="836" spans="1:12" s="9" customFormat="1" ht="30" customHeight="1">
      <c r="A836" s="51" t="s">
        <v>11</v>
      </c>
      <c r="B836" s="5">
        <v>2</v>
      </c>
      <c r="C836" s="5">
        <v>2</v>
      </c>
      <c r="D836" s="36"/>
      <c r="E836" s="95"/>
      <c r="F836" s="44"/>
      <c r="G836" s="44"/>
      <c r="H836" s="43"/>
      <c r="I836" s="254"/>
      <c r="J836" s="61"/>
      <c r="K836" s="312"/>
      <c r="L836" s="15"/>
    </row>
    <row r="837" spans="1:12" s="9" customFormat="1" ht="30" customHeight="1">
      <c r="A837" s="51" t="s">
        <v>37</v>
      </c>
      <c r="B837" s="5">
        <v>5</v>
      </c>
      <c r="C837" s="5">
        <v>5</v>
      </c>
      <c r="D837" s="178"/>
      <c r="E837" s="95"/>
      <c r="F837" s="95"/>
      <c r="G837" s="95"/>
      <c r="H837" s="276"/>
      <c r="I837" s="254"/>
      <c r="K837" s="313"/>
      <c r="L837" s="15"/>
    </row>
    <row r="838" spans="1:12" s="9" customFormat="1" ht="30" customHeight="1">
      <c r="A838" s="483" t="s">
        <v>263</v>
      </c>
      <c r="B838" s="483"/>
      <c r="C838" s="483"/>
      <c r="D838" s="274">
        <v>150</v>
      </c>
      <c r="E838" s="44">
        <v>3.1</v>
      </c>
      <c r="F838" s="44">
        <v>3.9</v>
      </c>
      <c r="G838" s="44">
        <v>12.4</v>
      </c>
      <c r="H838" s="43">
        <f>E838*4+F838*9+G838*4</f>
        <v>97.1</v>
      </c>
      <c r="I838" s="256" t="s">
        <v>264</v>
      </c>
      <c r="K838" s="313"/>
      <c r="L838" s="15"/>
    </row>
    <row r="839" spans="1:12" s="9" customFormat="1" ht="30" customHeight="1">
      <c r="A839" s="51" t="s">
        <v>55</v>
      </c>
      <c r="B839" s="87">
        <f>C839*1.25</f>
        <v>215</v>
      </c>
      <c r="C839" s="87">
        <v>172</v>
      </c>
      <c r="D839" s="276"/>
      <c r="E839" s="95"/>
      <c r="F839" s="95"/>
      <c r="G839" s="95"/>
      <c r="H839" s="276"/>
      <c r="I839" s="255"/>
      <c r="K839" s="313"/>
      <c r="L839" s="15"/>
    </row>
    <row r="840" spans="1:12" ht="30" customHeight="1">
      <c r="A840" s="53" t="s">
        <v>11</v>
      </c>
      <c r="B840" s="37">
        <v>4</v>
      </c>
      <c r="C840" s="37">
        <v>4</v>
      </c>
      <c r="D840" s="36"/>
      <c r="E840" s="41"/>
      <c r="F840" s="41"/>
      <c r="G840" s="41"/>
      <c r="H840" s="41"/>
      <c r="L840" s="70"/>
    </row>
    <row r="841" spans="1:12" s="9" customFormat="1" ht="30" customHeight="1">
      <c r="A841" s="51" t="s">
        <v>60</v>
      </c>
      <c r="B841" s="37">
        <f>C841*1.25</f>
        <v>10</v>
      </c>
      <c r="C841" s="36">
        <v>8</v>
      </c>
      <c r="D841" s="276"/>
      <c r="E841" s="95"/>
      <c r="F841" s="95"/>
      <c r="G841" s="95"/>
      <c r="H841" s="276"/>
      <c r="I841" s="254"/>
      <c r="J841" s="61"/>
      <c r="K841" s="312"/>
      <c r="L841" s="15"/>
    </row>
    <row r="842" spans="1:12" s="9" customFormat="1" ht="30" customHeight="1">
      <c r="A842" s="51" t="s">
        <v>16</v>
      </c>
      <c r="B842" s="87">
        <f>C842*1.33</f>
        <v>10.64</v>
      </c>
      <c r="C842" s="276">
        <v>8</v>
      </c>
      <c r="D842" s="276"/>
      <c r="E842" s="95"/>
      <c r="F842" s="44"/>
      <c r="G842" s="44"/>
      <c r="H842" s="274"/>
      <c r="I842" s="254"/>
      <c r="J842" s="61"/>
      <c r="K842" s="312"/>
      <c r="L842" s="15"/>
    </row>
    <row r="843" spans="1:12" ht="30" customHeight="1">
      <c r="A843" s="53" t="s">
        <v>18</v>
      </c>
      <c r="B843" s="37">
        <f>C843*1.19</f>
        <v>8.33</v>
      </c>
      <c r="C843" s="25">
        <v>7</v>
      </c>
      <c r="D843" s="36"/>
      <c r="E843" s="41"/>
      <c r="F843" s="109"/>
      <c r="G843" s="109"/>
      <c r="H843" s="23"/>
      <c r="L843" s="70"/>
    </row>
    <row r="844" spans="1:12" ht="30" customHeight="1">
      <c r="A844" s="56" t="s">
        <v>54</v>
      </c>
      <c r="B844" s="25">
        <v>3</v>
      </c>
      <c r="C844" s="25">
        <v>3</v>
      </c>
      <c r="D844" s="36"/>
      <c r="E844" s="41"/>
      <c r="F844" s="109"/>
      <c r="G844" s="109"/>
      <c r="H844" s="23"/>
      <c r="L844" s="70"/>
    </row>
    <row r="845" spans="1:12" ht="30" customHeight="1">
      <c r="A845" s="53" t="s">
        <v>21</v>
      </c>
      <c r="B845" s="360">
        <v>2.5</v>
      </c>
      <c r="C845" s="360">
        <v>2.5</v>
      </c>
      <c r="D845" s="36"/>
      <c r="E845" s="361"/>
      <c r="F845" s="361"/>
      <c r="G845" s="361"/>
      <c r="H845" s="361"/>
      <c r="L845" s="70"/>
    </row>
    <row r="846" spans="1:12" ht="30" customHeight="1">
      <c r="A846" s="53" t="s">
        <v>4</v>
      </c>
      <c r="B846" s="25">
        <v>2.5</v>
      </c>
      <c r="C846" s="25">
        <v>2.5</v>
      </c>
      <c r="D846" s="36"/>
      <c r="E846" s="41"/>
      <c r="F846" s="109"/>
      <c r="G846" s="109"/>
      <c r="H846" s="23"/>
      <c r="J846" s="70"/>
      <c r="K846" s="339"/>
      <c r="L846" s="70"/>
    </row>
    <row r="847" spans="1:12" s="9" customFormat="1" ht="30" customHeight="1">
      <c r="A847" s="481" t="s">
        <v>265</v>
      </c>
      <c r="B847" s="481"/>
      <c r="C847" s="481"/>
      <c r="D847" s="26">
        <v>200</v>
      </c>
      <c r="E847" s="45">
        <v>1</v>
      </c>
      <c r="F847" s="45">
        <v>0</v>
      </c>
      <c r="G847" s="45">
        <v>25.2</v>
      </c>
      <c r="H847" s="43">
        <f>G847*4+F847*9+E847*4</f>
        <v>104.8</v>
      </c>
      <c r="I847" s="256" t="s">
        <v>236</v>
      </c>
      <c r="J847" s="15"/>
      <c r="K847" s="317"/>
      <c r="L847" s="172"/>
    </row>
    <row r="848" spans="1:12" s="9" customFormat="1" ht="30" customHeight="1">
      <c r="A848" s="53" t="s">
        <v>73</v>
      </c>
      <c r="B848" s="36">
        <v>25</v>
      </c>
      <c r="C848" s="36">
        <v>25</v>
      </c>
      <c r="D848" s="36"/>
      <c r="E848" s="95"/>
      <c r="F848" s="95"/>
      <c r="G848" s="95"/>
      <c r="H848" s="276"/>
      <c r="I848" s="254"/>
      <c r="J848" s="15"/>
      <c r="K848" s="317"/>
      <c r="L848" s="15"/>
    </row>
    <row r="849" spans="1:12" s="9" customFormat="1" ht="30" customHeight="1">
      <c r="A849" s="53" t="s">
        <v>4</v>
      </c>
      <c r="B849" s="36">
        <v>10</v>
      </c>
      <c r="C849" s="36">
        <v>10</v>
      </c>
      <c r="D849" s="36"/>
      <c r="E849" s="95"/>
      <c r="F849" s="95"/>
      <c r="G849" s="95"/>
      <c r="H849" s="276"/>
      <c r="I849" s="254"/>
      <c r="J849" s="15"/>
      <c r="K849" s="317"/>
      <c r="L849" s="15"/>
    </row>
    <row r="850" spans="1:12" ht="30" customHeight="1">
      <c r="A850" s="146" t="s">
        <v>20</v>
      </c>
      <c r="B850" s="36">
        <v>50</v>
      </c>
      <c r="C850" s="36">
        <v>50</v>
      </c>
      <c r="D850" s="23">
        <v>50</v>
      </c>
      <c r="E850" s="109">
        <v>2.5</v>
      </c>
      <c r="F850" s="109">
        <v>0.7000000000000001</v>
      </c>
      <c r="G850" s="109">
        <v>20.25</v>
      </c>
      <c r="H850" s="109">
        <v>97.3</v>
      </c>
      <c r="J850" s="70"/>
      <c r="K850" s="339"/>
      <c r="L850" s="70"/>
    </row>
    <row r="851" spans="1:12" s="9" customFormat="1" ht="30" customHeight="1">
      <c r="A851" s="483" t="s">
        <v>74</v>
      </c>
      <c r="B851" s="482"/>
      <c r="C851" s="482"/>
      <c r="D851" s="77">
        <v>50</v>
      </c>
      <c r="E851" s="95"/>
      <c r="F851" s="95"/>
      <c r="G851" s="95"/>
      <c r="H851" s="95"/>
      <c r="I851" s="254"/>
      <c r="J851" s="15"/>
      <c r="K851" s="317"/>
      <c r="L851" s="15"/>
    </row>
    <row r="852" spans="1:12" ht="30" customHeight="1">
      <c r="A852" s="146" t="s">
        <v>26</v>
      </c>
      <c r="B852" s="36">
        <v>50</v>
      </c>
      <c r="C852" s="36">
        <v>50</v>
      </c>
      <c r="D852" s="23">
        <v>50</v>
      </c>
      <c r="E852" s="109">
        <v>1.75</v>
      </c>
      <c r="F852" s="109">
        <v>0.25</v>
      </c>
      <c r="G852" s="109">
        <v>23.5</v>
      </c>
      <c r="H852" s="109">
        <v>103.25</v>
      </c>
      <c r="J852" s="70"/>
      <c r="K852" s="339"/>
      <c r="L852" s="70"/>
    </row>
    <row r="853" spans="1:12" s="9" customFormat="1" ht="30" customHeight="1">
      <c r="A853" s="472" t="s">
        <v>24</v>
      </c>
      <c r="B853" s="472"/>
      <c r="C853" s="472"/>
      <c r="D853" s="472"/>
      <c r="E853" s="99">
        <f>E772+E744</f>
        <v>45.983333333333334</v>
      </c>
      <c r="F853" s="99">
        <f>F772+F744</f>
        <v>45.64999999999999</v>
      </c>
      <c r="G853" s="99">
        <f>G772+G744</f>
        <v>193.05</v>
      </c>
      <c r="H853" s="96">
        <f>H772+H744</f>
        <v>1366.8833333333332</v>
      </c>
      <c r="I853" s="254"/>
      <c r="J853" s="15"/>
      <c r="K853" s="317"/>
      <c r="L853" s="15"/>
    </row>
    <row r="854" spans="1:12" s="9" customFormat="1" ht="30" customHeight="1">
      <c r="A854" s="478" t="s">
        <v>48</v>
      </c>
      <c r="B854" s="478"/>
      <c r="C854" s="478"/>
      <c r="D854" s="478"/>
      <c r="E854" s="478"/>
      <c r="F854" s="478"/>
      <c r="G854" s="478"/>
      <c r="H854" s="478"/>
      <c r="I854" s="478"/>
      <c r="J854" s="15"/>
      <c r="K854" s="317"/>
      <c r="L854" s="15"/>
    </row>
    <row r="855" spans="1:12" s="9" customFormat="1" ht="30" customHeight="1">
      <c r="A855" s="470" t="s">
        <v>0</v>
      </c>
      <c r="B855" s="471" t="s">
        <v>6</v>
      </c>
      <c r="C855" s="471" t="s">
        <v>7</v>
      </c>
      <c r="D855" s="470" t="s">
        <v>5</v>
      </c>
      <c r="E855" s="470"/>
      <c r="F855" s="470"/>
      <c r="G855" s="470"/>
      <c r="H855" s="470"/>
      <c r="I855" s="470"/>
      <c r="J855" s="15"/>
      <c r="K855" s="317"/>
      <c r="L855" s="15"/>
    </row>
    <row r="856" spans="1:12" s="9" customFormat="1" ht="30" customHeight="1">
      <c r="A856" s="470"/>
      <c r="B856" s="471"/>
      <c r="C856" s="471"/>
      <c r="D856" s="135" t="s">
        <v>8</v>
      </c>
      <c r="E856" s="281" t="s">
        <v>1</v>
      </c>
      <c r="F856" s="281" t="s">
        <v>2</v>
      </c>
      <c r="G856" s="281" t="s">
        <v>9</v>
      </c>
      <c r="H856" s="280" t="s">
        <v>3</v>
      </c>
      <c r="I856" s="282" t="s">
        <v>190</v>
      </c>
      <c r="J856" s="15"/>
      <c r="K856" s="317"/>
      <c r="L856" s="15"/>
    </row>
    <row r="857" spans="1:12" s="9" customFormat="1" ht="30" customHeight="1">
      <c r="A857" s="485" t="s">
        <v>105</v>
      </c>
      <c r="B857" s="485"/>
      <c r="C857" s="485"/>
      <c r="D857" s="245">
        <f>40+D861+207+D873</f>
        <v>522</v>
      </c>
      <c r="E857" s="99">
        <f>E861+E858+E869+E873</f>
        <v>14.6</v>
      </c>
      <c r="F857" s="99">
        <f>F861+F858+F869+F873</f>
        <v>25.1</v>
      </c>
      <c r="G857" s="99">
        <f>G861+G858+G869+G873</f>
        <v>62.4</v>
      </c>
      <c r="H857" s="99">
        <f>H861+H858+H869+H873</f>
        <v>533.9000000000001</v>
      </c>
      <c r="I857" s="255"/>
      <c r="J857" s="15"/>
      <c r="K857" s="317"/>
      <c r="L857" s="173"/>
    </row>
    <row r="858" spans="1:12" s="9" customFormat="1" ht="30" customHeight="1">
      <c r="A858" s="483" t="s">
        <v>237</v>
      </c>
      <c r="B858" s="483"/>
      <c r="C858" s="483"/>
      <c r="D858" s="138" t="s">
        <v>163</v>
      </c>
      <c r="E858" s="44">
        <v>1.6</v>
      </c>
      <c r="F858" s="44">
        <v>7.4</v>
      </c>
      <c r="G858" s="44">
        <v>13.2</v>
      </c>
      <c r="H858" s="43">
        <f>G858*4+F858*9+E858*4</f>
        <v>125.80000000000001</v>
      </c>
      <c r="I858" s="243" t="s">
        <v>238</v>
      </c>
      <c r="K858" s="313"/>
      <c r="L858" s="15"/>
    </row>
    <row r="859" spans="1:11" s="9" customFormat="1" ht="30" customHeight="1">
      <c r="A859" s="53" t="s">
        <v>128</v>
      </c>
      <c r="B859" s="36">
        <v>30</v>
      </c>
      <c r="C859" s="36">
        <v>30</v>
      </c>
      <c r="D859" s="36"/>
      <c r="E859" s="95"/>
      <c r="F859" s="95"/>
      <c r="G859" s="201"/>
      <c r="H859" s="223"/>
      <c r="I859" s="255"/>
      <c r="K859" s="314" t="s">
        <v>48</v>
      </c>
    </row>
    <row r="860" spans="1:12" s="9" customFormat="1" ht="30" customHeight="1">
      <c r="A860" s="53" t="s">
        <v>19</v>
      </c>
      <c r="B860" s="36">
        <v>10</v>
      </c>
      <c r="C860" s="36">
        <v>10</v>
      </c>
      <c r="D860" s="36"/>
      <c r="E860" s="95"/>
      <c r="F860" s="95"/>
      <c r="G860" s="95"/>
      <c r="H860" s="87"/>
      <c r="I860" s="255"/>
      <c r="K860" s="301" t="s">
        <v>26</v>
      </c>
      <c r="L860" s="9">
        <f>D930</f>
        <v>50</v>
      </c>
    </row>
    <row r="861" spans="1:12" s="9" customFormat="1" ht="30" customHeight="1">
      <c r="A861" s="483" t="s">
        <v>407</v>
      </c>
      <c r="B861" s="483"/>
      <c r="C861" s="483"/>
      <c r="D861" s="23">
        <v>150</v>
      </c>
      <c r="E861" s="109">
        <v>10.2</v>
      </c>
      <c r="F861" s="109">
        <v>14.6</v>
      </c>
      <c r="G861" s="109">
        <v>29.6</v>
      </c>
      <c r="H861" s="43">
        <f>G861*4+F861*9+E861*4</f>
        <v>290.6</v>
      </c>
      <c r="I861" s="226" t="s">
        <v>408</v>
      </c>
      <c r="K861" s="301" t="s">
        <v>126</v>
      </c>
      <c r="L861" s="9">
        <f>D928+C859</f>
        <v>80</v>
      </c>
    </row>
    <row r="862" spans="1:12" ht="30" customHeight="1">
      <c r="A862" s="53" t="s">
        <v>25</v>
      </c>
      <c r="B862" s="37">
        <v>136</v>
      </c>
      <c r="C862" s="37">
        <v>134</v>
      </c>
      <c r="D862" s="431"/>
      <c r="E862" s="109"/>
      <c r="F862" s="109"/>
      <c r="G862" s="109"/>
      <c r="H862" s="238"/>
      <c r="I862" s="283"/>
      <c r="K862" s="301" t="s">
        <v>155</v>
      </c>
      <c r="L862" s="62">
        <f>C909+B866</f>
        <v>14.5</v>
      </c>
    </row>
    <row r="863" spans="1:12" ht="30" customHeight="1">
      <c r="A863" s="53" t="s">
        <v>56</v>
      </c>
      <c r="B863" s="37">
        <v>8</v>
      </c>
      <c r="C863" s="37">
        <v>8</v>
      </c>
      <c r="D863" s="431"/>
      <c r="E863" s="109"/>
      <c r="F863" s="109"/>
      <c r="G863" s="109"/>
      <c r="H863" s="238"/>
      <c r="I863" s="283"/>
      <c r="K863" s="301" t="s">
        <v>66</v>
      </c>
      <c r="L863" s="62">
        <f>C896</f>
        <v>5</v>
      </c>
    </row>
    <row r="864" spans="1:12" s="9" customFormat="1" ht="30" customHeight="1">
      <c r="A864" s="57" t="s">
        <v>84</v>
      </c>
      <c r="B864" s="37">
        <v>8</v>
      </c>
      <c r="C864" s="37">
        <v>8</v>
      </c>
      <c r="D864" s="429"/>
      <c r="E864" s="276"/>
      <c r="F864" s="276"/>
      <c r="G864" s="276"/>
      <c r="H864" s="37"/>
      <c r="I864" s="362"/>
      <c r="K864" s="301" t="s">
        <v>65</v>
      </c>
      <c r="L864" s="17"/>
    </row>
    <row r="865" spans="1:12" s="9" customFormat="1" ht="30" customHeight="1">
      <c r="A865" s="53" t="s">
        <v>4</v>
      </c>
      <c r="B865" s="87">
        <v>4</v>
      </c>
      <c r="C865" s="87">
        <v>4</v>
      </c>
      <c r="D865" s="429"/>
      <c r="E865" s="276"/>
      <c r="F865" s="95"/>
      <c r="G865" s="95"/>
      <c r="H865" s="87"/>
      <c r="I865" s="380"/>
      <c r="K865" s="301" t="s">
        <v>27</v>
      </c>
      <c r="L865" s="17">
        <f>C892+C913</f>
        <v>203</v>
      </c>
    </row>
    <row r="866" spans="1:12" s="9" customFormat="1" ht="30" customHeight="1">
      <c r="A866" s="53" t="s">
        <v>21</v>
      </c>
      <c r="B866" s="87">
        <v>10</v>
      </c>
      <c r="C866" s="87">
        <v>10</v>
      </c>
      <c r="D866" s="429"/>
      <c r="E866" s="276"/>
      <c r="F866" s="109"/>
      <c r="G866" s="109"/>
      <c r="H866" s="43"/>
      <c r="I866" s="232"/>
      <c r="K866" s="301" t="s">
        <v>201</v>
      </c>
      <c r="L866" s="17">
        <f>C876+C877+C897+C899+C900+C903</f>
        <v>86.2</v>
      </c>
    </row>
    <row r="867" spans="1:12" ht="30" customHeight="1">
      <c r="A867" s="56" t="s">
        <v>409</v>
      </c>
      <c r="B867" s="41">
        <v>20.2</v>
      </c>
      <c r="C867" s="37">
        <v>20</v>
      </c>
      <c r="D867" s="431"/>
      <c r="E867" s="36"/>
      <c r="F867" s="41"/>
      <c r="G867" s="41"/>
      <c r="H867" s="37"/>
      <c r="I867" s="362"/>
      <c r="K867" s="301" t="s">
        <v>28</v>
      </c>
      <c r="L867" s="61">
        <f>C924+C872</f>
        <v>31</v>
      </c>
    </row>
    <row r="868" spans="1:11" ht="30" customHeight="1">
      <c r="A868" s="53" t="s">
        <v>410</v>
      </c>
      <c r="B868" s="41">
        <v>2.5</v>
      </c>
      <c r="C868" s="41">
        <v>2.5</v>
      </c>
      <c r="D868" s="431"/>
      <c r="E868" s="36"/>
      <c r="F868" s="41"/>
      <c r="G868" s="41"/>
      <c r="H868" s="37"/>
      <c r="I868" s="362"/>
      <c r="K868" s="301" t="s">
        <v>170</v>
      </c>
    </row>
    <row r="869" spans="1:12" s="9" customFormat="1" ht="30" customHeight="1">
      <c r="A869" s="469" t="s">
        <v>239</v>
      </c>
      <c r="B869" s="469"/>
      <c r="C869" s="469"/>
      <c r="D869" s="21" t="s">
        <v>136</v>
      </c>
      <c r="E869" s="44">
        <v>0.3</v>
      </c>
      <c r="F869" s="44">
        <v>0</v>
      </c>
      <c r="G869" s="44">
        <v>15.2</v>
      </c>
      <c r="H869" s="43">
        <f>G869*4+F869*9+E869*4</f>
        <v>62</v>
      </c>
      <c r="I869" s="243" t="s">
        <v>240</v>
      </c>
      <c r="K869" s="301" t="s">
        <v>202</v>
      </c>
      <c r="L869" s="62">
        <f>B865+C871+C926+B880</f>
        <v>36</v>
      </c>
    </row>
    <row r="870" spans="1:12" s="9" customFormat="1" ht="30" customHeight="1">
      <c r="A870" s="51" t="s">
        <v>110</v>
      </c>
      <c r="B870" s="5">
        <v>1</v>
      </c>
      <c r="C870" s="5">
        <v>1</v>
      </c>
      <c r="D870" s="147"/>
      <c r="E870" s="105"/>
      <c r="F870" s="105"/>
      <c r="G870" s="105"/>
      <c r="H870" s="84"/>
      <c r="I870" s="254"/>
      <c r="K870" s="301" t="s">
        <v>357</v>
      </c>
      <c r="L870" s="61"/>
    </row>
    <row r="871" spans="1:12" s="9" customFormat="1" ht="30" customHeight="1">
      <c r="A871" s="53" t="s">
        <v>4</v>
      </c>
      <c r="B871" s="29">
        <v>15</v>
      </c>
      <c r="C871" s="29">
        <v>15</v>
      </c>
      <c r="D871" s="30"/>
      <c r="E871" s="105"/>
      <c r="F871" s="105"/>
      <c r="G871" s="105"/>
      <c r="H871" s="105"/>
      <c r="I871" s="254"/>
      <c r="K871" s="315" t="s">
        <v>29</v>
      </c>
      <c r="L871" s="17">
        <f>C867</f>
        <v>20</v>
      </c>
    </row>
    <row r="872" spans="1:11" s="9" customFormat="1" ht="30" customHeight="1">
      <c r="A872" s="53" t="s">
        <v>135</v>
      </c>
      <c r="B872" s="29">
        <v>8</v>
      </c>
      <c r="C872" s="29">
        <v>7</v>
      </c>
      <c r="D872" s="30"/>
      <c r="E872" s="105"/>
      <c r="F872" s="105"/>
      <c r="G872" s="105"/>
      <c r="H872" s="105"/>
      <c r="I872" s="254"/>
      <c r="K872" s="301" t="s">
        <v>70</v>
      </c>
    </row>
    <row r="873" spans="1:12" s="9" customFormat="1" ht="30" customHeight="1">
      <c r="A873" s="203" t="s">
        <v>360</v>
      </c>
      <c r="B873" s="29">
        <v>129</v>
      </c>
      <c r="C873" s="29">
        <v>125</v>
      </c>
      <c r="D873" s="153">
        <v>125</v>
      </c>
      <c r="E873" s="148">
        <v>2.5</v>
      </c>
      <c r="F873" s="148">
        <v>3.1</v>
      </c>
      <c r="G873" s="148">
        <v>4.4</v>
      </c>
      <c r="H873" s="43">
        <f>G873*4+F873*9+E873*4</f>
        <v>55.5</v>
      </c>
      <c r="I873" s="243" t="s">
        <v>241</v>
      </c>
      <c r="K873" s="301" t="s">
        <v>182</v>
      </c>
      <c r="L873" s="61"/>
    </row>
    <row r="874" spans="1:12" s="9" customFormat="1" ht="30" customHeight="1">
      <c r="A874" s="472" t="s">
        <v>57</v>
      </c>
      <c r="B874" s="472"/>
      <c r="C874" s="472"/>
      <c r="D874" s="244">
        <f>D875+265+95+D912+D923</f>
        <v>770</v>
      </c>
      <c r="E874" s="99">
        <f>E875+E889+E904+E912+E923+E928+E930</f>
        <v>27.95</v>
      </c>
      <c r="F874" s="99">
        <f>F875+F889+F904+F912+F923+F928+F930</f>
        <v>23.55</v>
      </c>
      <c r="G874" s="99">
        <f>G875+G889+G904+G912+G923+G928+G930</f>
        <v>108.35</v>
      </c>
      <c r="H874" s="96">
        <f>H875+H889+H904+H912+H923+H928+H930</f>
        <v>757.15</v>
      </c>
      <c r="I874" s="255"/>
      <c r="K874" s="301" t="s">
        <v>183</v>
      </c>
      <c r="L874" s="61"/>
    </row>
    <row r="875" spans="1:12" ht="30" customHeight="1">
      <c r="A875" s="476" t="s">
        <v>242</v>
      </c>
      <c r="B875" s="476"/>
      <c r="C875" s="476"/>
      <c r="D875" s="23">
        <v>60</v>
      </c>
      <c r="E875" s="109">
        <v>0.9</v>
      </c>
      <c r="F875" s="109">
        <v>3</v>
      </c>
      <c r="G875" s="109">
        <v>5.8</v>
      </c>
      <c r="H875" s="109">
        <f>E875*4+F875*9+G875*4</f>
        <v>53.8</v>
      </c>
      <c r="I875" s="232" t="s">
        <v>243</v>
      </c>
      <c r="K875" s="316" t="s">
        <v>30</v>
      </c>
      <c r="L875" s="61">
        <f>C870</f>
        <v>1</v>
      </c>
    </row>
    <row r="876" spans="1:12" ht="30" customHeight="1">
      <c r="A876" s="56" t="s">
        <v>244</v>
      </c>
      <c r="B876" s="37">
        <f>C876*1.25</f>
        <v>62.5</v>
      </c>
      <c r="C876" s="36">
        <v>50</v>
      </c>
      <c r="D876" s="36"/>
      <c r="E876" s="41"/>
      <c r="F876" s="41"/>
      <c r="G876" s="41"/>
      <c r="H876" s="41"/>
      <c r="I876" s="362"/>
      <c r="K876" s="301" t="s">
        <v>172</v>
      </c>
      <c r="L876" s="62">
        <f>C890</f>
        <v>16</v>
      </c>
    </row>
    <row r="877" spans="1:11" ht="30" customHeight="1">
      <c r="A877" s="53" t="s">
        <v>60</v>
      </c>
      <c r="B877" s="41">
        <f>C877*1.25</f>
        <v>7.5</v>
      </c>
      <c r="C877" s="36">
        <v>6</v>
      </c>
      <c r="D877" s="36"/>
      <c r="E877" s="36"/>
      <c r="F877" s="36"/>
      <c r="G877" s="36"/>
      <c r="H877" s="36"/>
      <c r="I877" s="283"/>
      <c r="K877" s="301" t="s">
        <v>174</v>
      </c>
    </row>
    <row r="878" spans="1:12" ht="30" customHeight="1">
      <c r="A878" s="56" t="s">
        <v>16</v>
      </c>
      <c r="B878" s="37">
        <f>C878*1.33</f>
        <v>7.98</v>
      </c>
      <c r="C878" s="36">
        <v>6</v>
      </c>
      <c r="D878" s="36"/>
      <c r="E878" s="36"/>
      <c r="F878" s="36"/>
      <c r="G878" s="36"/>
      <c r="H878" s="41"/>
      <c r="I878" s="283"/>
      <c r="K878" s="301" t="s">
        <v>173</v>
      </c>
      <c r="L878" s="291"/>
    </row>
    <row r="879" spans="1:12" s="9" customFormat="1" ht="30" customHeight="1">
      <c r="A879" s="484" t="s">
        <v>481</v>
      </c>
      <c r="B879" s="484"/>
      <c r="C879" s="484"/>
      <c r="D879" s="276"/>
      <c r="E879" s="276"/>
      <c r="F879" s="276"/>
      <c r="G879" s="276"/>
      <c r="H879" s="95"/>
      <c r="I879" s="275"/>
      <c r="K879" s="301" t="s">
        <v>175</v>
      </c>
      <c r="L879" s="17">
        <f>C905</f>
        <v>102</v>
      </c>
    </row>
    <row r="880" spans="1:12" ht="30" customHeight="1">
      <c r="A880" s="53" t="s">
        <v>4</v>
      </c>
      <c r="B880" s="37">
        <v>2</v>
      </c>
      <c r="C880" s="36">
        <v>2</v>
      </c>
      <c r="D880" s="36"/>
      <c r="E880" s="36"/>
      <c r="F880" s="23"/>
      <c r="G880" s="23"/>
      <c r="H880" s="109"/>
      <c r="I880" s="362"/>
      <c r="K880" s="305" t="s">
        <v>80</v>
      </c>
      <c r="L880" s="62">
        <f>C917</f>
        <v>23</v>
      </c>
    </row>
    <row r="881" spans="1:12" ht="30" customHeight="1">
      <c r="A881" s="53" t="s">
        <v>245</v>
      </c>
      <c r="B881" s="271">
        <v>0.08</v>
      </c>
      <c r="C881" s="271">
        <v>0.08</v>
      </c>
      <c r="D881" s="36"/>
      <c r="E881" s="36"/>
      <c r="F881" s="23"/>
      <c r="G881" s="23"/>
      <c r="H881" s="109"/>
      <c r="I881" s="362"/>
      <c r="K881" s="307" t="s">
        <v>176</v>
      </c>
      <c r="L881" s="61">
        <f>C873</f>
        <v>125</v>
      </c>
    </row>
    <row r="882" spans="1:12" ht="30" customHeight="1">
      <c r="A882" s="53" t="s">
        <v>246</v>
      </c>
      <c r="B882" s="41">
        <v>3.8</v>
      </c>
      <c r="C882" s="36">
        <v>3.8</v>
      </c>
      <c r="D882" s="36"/>
      <c r="E882" s="36"/>
      <c r="F882" s="23"/>
      <c r="G882" s="23"/>
      <c r="H882" s="109"/>
      <c r="I882" s="362"/>
      <c r="K882" s="301" t="s">
        <v>177</v>
      </c>
      <c r="L882" s="62">
        <f>B862</f>
        <v>136</v>
      </c>
    </row>
    <row r="883" spans="1:12" ht="30" customHeight="1">
      <c r="A883" s="53" t="s">
        <v>486</v>
      </c>
      <c r="B883" s="36">
        <v>3</v>
      </c>
      <c r="C883" s="36">
        <v>3</v>
      </c>
      <c r="D883" s="36"/>
      <c r="E883" s="41"/>
      <c r="F883" s="109"/>
      <c r="G883" s="109"/>
      <c r="H883" s="109"/>
      <c r="I883" s="362"/>
      <c r="K883" s="301" t="s">
        <v>31</v>
      </c>
      <c r="L883" s="62">
        <f>C902+B863</f>
        <v>13</v>
      </c>
    </row>
    <row r="884" spans="1:11" s="9" customFormat="1" ht="30" customHeight="1">
      <c r="A884" s="468" t="s">
        <v>69</v>
      </c>
      <c r="B884" s="468"/>
      <c r="C884" s="468"/>
      <c r="D884" s="468"/>
      <c r="E884" s="468"/>
      <c r="F884" s="468"/>
      <c r="G884" s="468"/>
      <c r="H884" s="468"/>
      <c r="I884" s="468"/>
      <c r="K884" s="301" t="s">
        <v>178</v>
      </c>
    </row>
    <row r="885" spans="1:12" ht="30" customHeight="1">
      <c r="A885" s="476" t="s">
        <v>222</v>
      </c>
      <c r="B885" s="476"/>
      <c r="C885" s="476"/>
      <c r="D885" s="23">
        <v>60</v>
      </c>
      <c r="E885" s="109">
        <v>0.6</v>
      </c>
      <c r="F885" s="109">
        <v>0.2</v>
      </c>
      <c r="G885" s="109">
        <v>2.4</v>
      </c>
      <c r="H885" s="238">
        <f>E885*4+F885*9+G885*4</f>
        <v>13.8</v>
      </c>
      <c r="I885" s="270" t="s">
        <v>223</v>
      </c>
      <c r="K885" s="301" t="s">
        <v>32</v>
      </c>
      <c r="L885" s="62">
        <f>C860+C901+C911+C922+C868</f>
        <v>27.5</v>
      </c>
    </row>
    <row r="886" spans="1:12" ht="30" customHeight="1">
      <c r="A886" s="56" t="s">
        <v>98</v>
      </c>
      <c r="B886" s="37">
        <f>C886*1.02</f>
        <v>61.2</v>
      </c>
      <c r="C886" s="60">
        <v>60</v>
      </c>
      <c r="D886" s="224"/>
      <c r="E886" s="109"/>
      <c r="F886" s="109"/>
      <c r="G886" s="109"/>
      <c r="H886" s="23"/>
      <c r="I886" s="258"/>
      <c r="K886" s="301" t="s">
        <v>33</v>
      </c>
      <c r="L886" s="62">
        <f>C910+C883</f>
        <v>7</v>
      </c>
    </row>
    <row r="887" spans="1:12" s="9" customFormat="1" ht="30" customHeight="1">
      <c r="A887" s="53" t="s">
        <v>99</v>
      </c>
      <c r="B887" s="37">
        <f>C887*1.18</f>
        <v>70.8</v>
      </c>
      <c r="C887" s="60">
        <v>60</v>
      </c>
      <c r="D887" s="224"/>
      <c r="E887" s="44"/>
      <c r="F887" s="44"/>
      <c r="G887" s="44"/>
      <c r="H887" s="44"/>
      <c r="I887" s="258"/>
      <c r="K887" s="301" t="s">
        <v>179</v>
      </c>
      <c r="L887" s="17">
        <f>C864</f>
        <v>8</v>
      </c>
    </row>
    <row r="888" spans="1:12" s="9" customFormat="1" ht="30" customHeight="1">
      <c r="A888" s="56" t="s">
        <v>111</v>
      </c>
      <c r="B888" s="90">
        <f>C888*1.82</f>
        <v>109.2</v>
      </c>
      <c r="C888" s="60">
        <v>60</v>
      </c>
      <c r="D888" s="224"/>
      <c r="E888" s="44"/>
      <c r="F888" s="44"/>
      <c r="G888" s="44"/>
      <c r="H888" s="44"/>
      <c r="I888" s="258"/>
      <c r="K888" s="301" t="s">
        <v>334</v>
      </c>
      <c r="L888" s="9">
        <f>C927</f>
        <v>6</v>
      </c>
    </row>
    <row r="889" spans="1:12" s="9" customFormat="1" ht="30" customHeight="1">
      <c r="A889" s="497" t="s">
        <v>247</v>
      </c>
      <c r="B889" s="482"/>
      <c r="C889" s="482"/>
      <c r="D889" s="153" t="s">
        <v>152</v>
      </c>
      <c r="E889" s="274">
        <v>4.7</v>
      </c>
      <c r="F889" s="274">
        <v>5.2</v>
      </c>
      <c r="G889" s="274">
        <v>14.4</v>
      </c>
      <c r="H889" s="43">
        <f>G889*4+F889*9+E889*4</f>
        <v>123.2</v>
      </c>
      <c r="I889" s="226" t="s">
        <v>248</v>
      </c>
      <c r="K889" s="301" t="s">
        <v>181</v>
      </c>
      <c r="L889" s="15">
        <v>1.5</v>
      </c>
    </row>
    <row r="890" spans="1:12" s="9" customFormat="1" ht="30" customHeight="1">
      <c r="A890" s="86" t="s">
        <v>86</v>
      </c>
      <c r="B890" s="48">
        <f>C890*1.36</f>
        <v>21.76</v>
      </c>
      <c r="C890" s="35">
        <v>16</v>
      </c>
      <c r="D890" s="5"/>
      <c r="E890" s="276"/>
      <c r="F890" s="276"/>
      <c r="G890" s="276"/>
      <c r="H890" s="276"/>
      <c r="I890" s="254"/>
      <c r="K890" s="301" t="s">
        <v>180</v>
      </c>
      <c r="L890" s="15">
        <v>1</v>
      </c>
    </row>
    <row r="891" spans="1:11" s="9" customFormat="1" ht="30" customHeight="1">
      <c r="A891" s="86" t="s">
        <v>87</v>
      </c>
      <c r="B891" s="48">
        <f>C891*1.18</f>
        <v>18.88</v>
      </c>
      <c r="C891" s="35">
        <v>16</v>
      </c>
      <c r="D891" s="228"/>
      <c r="E891" s="85"/>
      <c r="F891" s="85"/>
      <c r="G891" s="85"/>
      <c r="H891" s="240"/>
      <c r="I891" s="254"/>
      <c r="K891" s="313"/>
    </row>
    <row r="892" spans="1:11" s="9" customFormat="1" ht="30" customHeight="1">
      <c r="A892" s="51" t="s">
        <v>12</v>
      </c>
      <c r="B892" s="35">
        <f>C892*1.33</f>
        <v>99.75</v>
      </c>
      <c r="C892" s="5">
        <v>75</v>
      </c>
      <c r="D892" s="36"/>
      <c r="E892" s="276"/>
      <c r="F892" s="276"/>
      <c r="G892" s="229"/>
      <c r="H892" s="229"/>
      <c r="I892" s="254"/>
      <c r="J892" s="61"/>
      <c r="K892" s="313"/>
    </row>
    <row r="893" spans="1:12" s="9" customFormat="1" ht="30" customHeight="1">
      <c r="A893" s="51" t="s">
        <v>13</v>
      </c>
      <c r="B893" s="35">
        <f>C893*1.43</f>
        <v>107.25</v>
      </c>
      <c r="C893" s="5">
        <v>75</v>
      </c>
      <c r="D893" s="36"/>
      <c r="E893" s="276"/>
      <c r="F893" s="276"/>
      <c r="G893" s="229"/>
      <c r="H893" s="229"/>
      <c r="I893" s="254"/>
      <c r="K893" s="313"/>
      <c r="L893" s="15"/>
    </row>
    <row r="894" spans="1:12" s="9" customFormat="1" ht="30" customHeight="1">
      <c r="A894" s="53" t="s">
        <v>14</v>
      </c>
      <c r="B894" s="35">
        <f>C894*1.54</f>
        <v>115.5</v>
      </c>
      <c r="C894" s="5">
        <v>75</v>
      </c>
      <c r="D894" s="36"/>
      <c r="E894" s="276"/>
      <c r="F894" s="276"/>
      <c r="G894" s="229"/>
      <c r="H894" s="229"/>
      <c r="I894" s="254"/>
      <c r="K894" s="313"/>
      <c r="L894" s="15"/>
    </row>
    <row r="895" spans="1:12" s="9" customFormat="1" ht="30" customHeight="1">
      <c r="A895" s="53" t="s">
        <v>15</v>
      </c>
      <c r="B895" s="35">
        <f>C895*1.67</f>
        <v>125.25</v>
      </c>
      <c r="C895" s="5">
        <v>75</v>
      </c>
      <c r="D895" s="36"/>
      <c r="E895" s="276"/>
      <c r="F895" s="276"/>
      <c r="G895" s="229"/>
      <c r="H895" s="229"/>
      <c r="I895" s="254"/>
      <c r="K895" s="313"/>
      <c r="L895" s="15"/>
    </row>
    <row r="896" spans="1:12" s="9" customFormat="1" ht="30" customHeight="1">
      <c r="A896" s="57" t="s">
        <v>120</v>
      </c>
      <c r="B896" s="5">
        <v>5</v>
      </c>
      <c r="C896" s="5">
        <v>5</v>
      </c>
      <c r="D896" s="36"/>
      <c r="E896" s="276"/>
      <c r="F896" s="276"/>
      <c r="G896" s="229"/>
      <c r="H896" s="229"/>
      <c r="I896" s="254"/>
      <c r="K896" s="313"/>
      <c r="L896" s="15"/>
    </row>
    <row r="897" spans="1:12" s="9" customFormat="1" ht="30" customHeight="1">
      <c r="A897" s="51" t="s">
        <v>60</v>
      </c>
      <c r="B897" s="5">
        <f>C897*1.25</f>
        <v>12.5</v>
      </c>
      <c r="C897" s="5">
        <v>10</v>
      </c>
      <c r="D897" s="36"/>
      <c r="E897" s="276"/>
      <c r="F897" s="276"/>
      <c r="G897" s="229"/>
      <c r="H897" s="229"/>
      <c r="I897" s="254"/>
      <c r="K897" s="313"/>
      <c r="L897" s="15"/>
    </row>
    <row r="898" spans="1:12" s="9" customFormat="1" ht="30" customHeight="1">
      <c r="A898" s="51" t="s">
        <v>16</v>
      </c>
      <c r="B898" s="40">
        <f>C898*1.33</f>
        <v>13.3</v>
      </c>
      <c r="C898" s="5">
        <v>10</v>
      </c>
      <c r="D898" s="36"/>
      <c r="E898" s="276"/>
      <c r="F898" s="276"/>
      <c r="G898" s="229"/>
      <c r="H898" s="229"/>
      <c r="I898" s="254"/>
      <c r="K898" s="313"/>
      <c r="L898" s="15"/>
    </row>
    <row r="899" spans="1:12" s="9" customFormat="1" ht="30" customHeight="1">
      <c r="A899" s="53" t="s">
        <v>18</v>
      </c>
      <c r="B899" s="37">
        <f>C899*1.19</f>
        <v>5.949999999999999</v>
      </c>
      <c r="C899" s="5">
        <v>5</v>
      </c>
      <c r="D899" s="36"/>
      <c r="E899" s="276"/>
      <c r="F899" s="276"/>
      <c r="G899" s="229"/>
      <c r="H899" s="229"/>
      <c r="I899" s="254"/>
      <c r="K899" s="313"/>
      <c r="L899" s="15"/>
    </row>
    <row r="900" spans="1:12" s="9" customFormat="1" ht="30" customHeight="1">
      <c r="A900" s="51" t="s">
        <v>108</v>
      </c>
      <c r="B900" s="35">
        <f>C900*1.82</f>
        <v>27.3</v>
      </c>
      <c r="C900" s="5">
        <v>15</v>
      </c>
      <c r="D900" s="36"/>
      <c r="E900" s="276"/>
      <c r="F900" s="276"/>
      <c r="G900" s="229"/>
      <c r="H900" s="229"/>
      <c r="I900" s="254"/>
      <c r="K900" s="313"/>
      <c r="L900" s="15"/>
    </row>
    <row r="901" spans="1:12" s="9" customFormat="1" ht="30" customHeight="1">
      <c r="A901" s="53" t="s">
        <v>19</v>
      </c>
      <c r="B901" s="5">
        <v>5</v>
      </c>
      <c r="C901" s="5">
        <v>5</v>
      </c>
      <c r="D901" s="36"/>
      <c r="E901" s="276"/>
      <c r="F901" s="276"/>
      <c r="G901" s="229"/>
      <c r="H901" s="229"/>
      <c r="I901" s="254"/>
      <c r="K901" s="313"/>
      <c r="L901" s="15"/>
    </row>
    <row r="902" spans="1:12" s="9" customFormat="1" ht="30" customHeight="1">
      <c r="A902" s="53" t="s">
        <v>56</v>
      </c>
      <c r="B902" s="36">
        <v>5</v>
      </c>
      <c r="C902" s="36">
        <v>5</v>
      </c>
      <c r="D902" s="36"/>
      <c r="E902" s="276"/>
      <c r="F902" s="276"/>
      <c r="G902" s="229"/>
      <c r="H902" s="229"/>
      <c r="I902" s="254"/>
      <c r="K902" s="313"/>
      <c r="L902" s="15"/>
    </row>
    <row r="903" spans="1:12" s="9" customFormat="1" ht="30" customHeight="1">
      <c r="A903" s="53" t="s">
        <v>72</v>
      </c>
      <c r="B903" s="40">
        <v>0.2</v>
      </c>
      <c r="C903" s="40">
        <v>0.2</v>
      </c>
      <c r="D903" s="228"/>
      <c r="E903" s="85"/>
      <c r="F903" s="85"/>
      <c r="G903" s="85"/>
      <c r="H903" s="240"/>
      <c r="I903" s="254"/>
      <c r="K903" s="313"/>
      <c r="L903" s="15"/>
    </row>
    <row r="904" spans="1:12" s="9" customFormat="1" ht="30" customHeight="1">
      <c r="A904" s="483" t="s">
        <v>249</v>
      </c>
      <c r="B904" s="482"/>
      <c r="C904" s="482"/>
      <c r="D904" s="23" t="s">
        <v>229</v>
      </c>
      <c r="E904" s="44">
        <v>14.9</v>
      </c>
      <c r="F904" s="44">
        <v>10.5</v>
      </c>
      <c r="G904" s="44">
        <v>3.6</v>
      </c>
      <c r="H904" s="43">
        <f>E904*4+F904*9+G904*4</f>
        <v>168.5</v>
      </c>
      <c r="I904" s="226" t="s">
        <v>250</v>
      </c>
      <c r="K904" s="313"/>
      <c r="L904" s="15"/>
    </row>
    <row r="905" spans="1:12" s="9" customFormat="1" ht="30" customHeight="1">
      <c r="A905" s="55" t="s">
        <v>83</v>
      </c>
      <c r="B905" s="27">
        <f>C905*1.35</f>
        <v>137.70000000000002</v>
      </c>
      <c r="C905" s="28">
        <v>102</v>
      </c>
      <c r="D905" s="36"/>
      <c r="E905" s="95"/>
      <c r="F905" s="95"/>
      <c r="G905" s="95"/>
      <c r="H905" s="276"/>
      <c r="I905" s="254"/>
      <c r="K905" s="313"/>
      <c r="L905" s="15"/>
    </row>
    <row r="906" spans="1:12" s="9" customFormat="1" ht="30" customHeight="1">
      <c r="A906" s="112" t="s">
        <v>143</v>
      </c>
      <c r="B906" s="48">
        <f>C906*1.43</f>
        <v>153.01</v>
      </c>
      <c r="C906" s="36">
        <v>107</v>
      </c>
      <c r="D906" s="36"/>
      <c r="E906" s="95"/>
      <c r="F906" s="95"/>
      <c r="G906" s="95"/>
      <c r="H906" s="95"/>
      <c r="I906" s="254"/>
      <c r="K906" s="313"/>
      <c r="L906" s="15"/>
    </row>
    <row r="907" spans="1:12" s="9" customFormat="1" ht="30" customHeight="1">
      <c r="A907" s="112" t="s">
        <v>144</v>
      </c>
      <c r="B907" s="48">
        <f>C907*1.72</f>
        <v>184.04</v>
      </c>
      <c r="C907" s="36">
        <v>107</v>
      </c>
      <c r="D907" s="36"/>
      <c r="E907" s="95"/>
      <c r="F907" s="95"/>
      <c r="G907" s="95"/>
      <c r="H907" s="276"/>
      <c r="I907" s="254"/>
      <c r="K907" s="313"/>
      <c r="L907" s="15"/>
    </row>
    <row r="908" spans="1:12" s="9" customFormat="1" ht="30" customHeight="1">
      <c r="A908" s="55" t="s">
        <v>85</v>
      </c>
      <c r="B908" s="27">
        <f>C908*1.16</f>
        <v>124.11999999999999</v>
      </c>
      <c r="C908" s="5">
        <v>107</v>
      </c>
      <c r="D908" s="36"/>
      <c r="E908" s="44"/>
      <c r="F908" s="44"/>
      <c r="G908" s="44"/>
      <c r="H908" s="43"/>
      <c r="I908" s="254"/>
      <c r="K908" s="313"/>
      <c r="L908" s="15"/>
    </row>
    <row r="909" spans="1:12" s="9" customFormat="1" ht="30" customHeight="1">
      <c r="A909" s="53" t="s">
        <v>21</v>
      </c>
      <c r="B909" s="41">
        <v>4.5</v>
      </c>
      <c r="C909" s="41">
        <v>4.5</v>
      </c>
      <c r="D909" s="36"/>
      <c r="E909" s="95"/>
      <c r="F909" s="95"/>
      <c r="G909" s="95"/>
      <c r="H909" s="276"/>
      <c r="I909" s="254"/>
      <c r="K909" s="313"/>
      <c r="L909" s="15"/>
    </row>
    <row r="910" spans="1:12" s="9" customFormat="1" ht="30" customHeight="1">
      <c r="A910" s="53" t="s">
        <v>11</v>
      </c>
      <c r="B910" s="37">
        <v>4</v>
      </c>
      <c r="C910" s="37">
        <v>4</v>
      </c>
      <c r="D910" s="36"/>
      <c r="E910" s="95"/>
      <c r="F910" s="95"/>
      <c r="G910" s="44"/>
      <c r="H910" s="274"/>
      <c r="I910" s="254"/>
      <c r="K910" s="313"/>
      <c r="L910" s="15"/>
    </row>
    <row r="911" spans="1:12" s="9" customFormat="1" ht="30" customHeight="1">
      <c r="A911" s="53" t="s">
        <v>19</v>
      </c>
      <c r="B911" s="36">
        <v>5</v>
      </c>
      <c r="C911" s="36">
        <v>5</v>
      </c>
      <c r="D911" s="36"/>
      <c r="E911" s="95"/>
      <c r="F911" s="95"/>
      <c r="G911" s="95"/>
      <c r="H911" s="276"/>
      <c r="I911" s="255"/>
      <c r="K911" s="313"/>
      <c r="L911" s="15"/>
    </row>
    <row r="912" spans="1:12" s="9" customFormat="1" ht="30" customHeight="1">
      <c r="A912" s="479" t="s">
        <v>233</v>
      </c>
      <c r="B912" s="482"/>
      <c r="C912" s="482"/>
      <c r="D912" s="39">
        <v>150</v>
      </c>
      <c r="E912" s="83">
        <v>3</v>
      </c>
      <c r="F912" s="83">
        <v>3.8</v>
      </c>
      <c r="G912" s="83">
        <v>19.3</v>
      </c>
      <c r="H912" s="43">
        <f>G912*4+F912*9+E912*4</f>
        <v>123.4</v>
      </c>
      <c r="I912" s="256" t="s">
        <v>234</v>
      </c>
      <c r="K912" s="313"/>
      <c r="L912" s="15"/>
    </row>
    <row r="913" spans="1:12" s="9" customFormat="1" ht="30" customHeight="1">
      <c r="A913" s="53" t="s">
        <v>12</v>
      </c>
      <c r="B913" s="37">
        <f>C913*1.33</f>
        <v>170.24</v>
      </c>
      <c r="C913" s="37">
        <v>128</v>
      </c>
      <c r="D913" s="36"/>
      <c r="E913" s="95"/>
      <c r="F913" s="95"/>
      <c r="G913" s="95"/>
      <c r="H913" s="227"/>
      <c r="I913" s="255"/>
      <c r="K913" s="313"/>
      <c r="L913" s="15"/>
    </row>
    <row r="914" spans="1:12" s="9" customFormat="1" ht="30" customHeight="1">
      <c r="A914" s="53" t="s">
        <v>13</v>
      </c>
      <c r="B914" s="37">
        <f>C914*1.43</f>
        <v>183.04</v>
      </c>
      <c r="C914" s="37">
        <v>128</v>
      </c>
      <c r="D914" s="36"/>
      <c r="E914" s="95"/>
      <c r="F914" s="95"/>
      <c r="G914" s="95"/>
      <c r="H914" s="276"/>
      <c r="I914" s="254"/>
      <c r="K914" s="313"/>
      <c r="L914" s="15"/>
    </row>
    <row r="915" spans="1:12" s="9" customFormat="1" ht="30" customHeight="1">
      <c r="A915" s="53" t="s">
        <v>14</v>
      </c>
      <c r="B915" s="37">
        <f>C915*1.54</f>
        <v>197.12</v>
      </c>
      <c r="C915" s="37">
        <v>128</v>
      </c>
      <c r="D915" s="36"/>
      <c r="E915" s="95"/>
      <c r="F915" s="44"/>
      <c r="G915" s="44"/>
      <c r="H915" s="274"/>
      <c r="I915" s="254"/>
      <c r="K915" s="313"/>
      <c r="L915" s="15"/>
    </row>
    <row r="916" spans="1:12" s="9" customFormat="1" ht="30" customHeight="1">
      <c r="A916" s="53" t="s">
        <v>15</v>
      </c>
      <c r="B916" s="37">
        <f>C916*1.67</f>
        <v>213.76</v>
      </c>
      <c r="C916" s="37">
        <v>128</v>
      </c>
      <c r="D916" s="36"/>
      <c r="E916" s="95"/>
      <c r="F916" s="44"/>
      <c r="G916" s="44"/>
      <c r="H916" s="274"/>
      <c r="I916" s="254"/>
      <c r="K916" s="313"/>
      <c r="L916" s="15"/>
    </row>
    <row r="917" spans="1:13" s="9" customFormat="1" ht="30" customHeight="1">
      <c r="A917" s="53" t="s">
        <v>52</v>
      </c>
      <c r="B917" s="36">
        <v>23</v>
      </c>
      <c r="C917" s="36">
        <v>23</v>
      </c>
      <c r="D917" s="36"/>
      <c r="E917" s="41"/>
      <c r="F917" s="41"/>
      <c r="G917" s="41"/>
      <c r="H917" s="36"/>
      <c r="I917" s="336"/>
      <c r="J917" s="61"/>
      <c r="K917" s="312"/>
      <c r="L917" s="70"/>
      <c r="M917" s="61"/>
    </row>
    <row r="918" spans="1:12" s="9" customFormat="1" ht="30" customHeight="1">
      <c r="A918" s="58" t="s">
        <v>38</v>
      </c>
      <c r="B918" s="89">
        <f>B917*460/1000</f>
        <v>10.58</v>
      </c>
      <c r="C918" s="89">
        <f>C917*460/1000</f>
        <v>10.58</v>
      </c>
      <c r="D918" s="36"/>
      <c r="E918" s="95"/>
      <c r="F918" s="95"/>
      <c r="G918" s="95"/>
      <c r="H918" s="276"/>
      <c r="I918" s="254"/>
      <c r="K918" s="313"/>
      <c r="L918" s="15"/>
    </row>
    <row r="919" spans="1:12" s="9" customFormat="1" ht="30" customHeight="1">
      <c r="A919" s="58" t="s">
        <v>39</v>
      </c>
      <c r="B919" s="89">
        <f>B917*120/1000</f>
        <v>2.76</v>
      </c>
      <c r="C919" s="89">
        <f>C917*120/1000</f>
        <v>2.76</v>
      </c>
      <c r="D919" s="36"/>
      <c r="E919" s="95"/>
      <c r="F919" s="95"/>
      <c r="G919" s="95"/>
      <c r="H919" s="276"/>
      <c r="I919" s="254"/>
      <c r="K919" s="313"/>
      <c r="L919" s="15"/>
    </row>
    <row r="920" spans="1:12" s="9" customFormat="1" ht="30" customHeight="1">
      <c r="A920" s="181" t="s">
        <v>149</v>
      </c>
      <c r="B920" s="182">
        <f>B917-B918</f>
        <v>12.42</v>
      </c>
      <c r="C920" s="182">
        <f>C917-C918</f>
        <v>12.42</v>
      </c>
      <c r="D920" s="36"/>
      <c r="E920" s="95"/>
      <c r="F920" s="95"/>
      <c r="G920" s="95"/>
      <c r="H920" s="276"/>
      <c r="I920" s="254"/>
      <c r="K920" s="313"/>
      <c r="L920" s="15"/>
    </row>
    <row r="921" spans="1:12" s="9" customFormat="1" ht="30" customHeight="1">
      <c r="A921" s="181" t="s">
        <v>150</v>
      </c>
      <c r="B921" s="182">
        <f>B917-B919</f>
        <v>20.240000000000002</v>
      </c>
      <c r="C921" s="182">
        <f>C917-C919</f>
        <v>20.240000000000002</v>
      </c>
      <c r="D921" s="36"/>
      <c r="E921" s="95"/>
      <c r="F921" s="95"/>
      <c r="G921" s="95"/>
      <c r="H921" s="276"/>
      <c r="I921" s="255"/>
      <c r="K921" s="313"/>
      <c r="L921" s="15"/>
    </row>
    <row r="922" spans="1:12" s="9" customFormat="1" ht="30" customHeight="1">
      <c r="A922" s="51" t="s">
        <v>19</v>
      </c>
      <c r="B922" s="35">
        <v>5</v>
      </c>
      <c r="C922" s="35">
        <v>5</v>
      </c>
      <c r="D922" s="36"/>
      <c r="E922" s="95"/>
      <c r="F922" s="95"/>
      <c r="G922" s="95"/>
      <c r="H922" s="276"/>
      <c r="I922" s="255"/>
      <c r="K922" s="313"/>
      <c r="L922" s="15"/>
    </row>
    <row r="923" spans="1:12" s="9" customFormat="1" ht="30" customHeight="1">
      <c r="A923" s="494" t="s">
        <v>331</v>
      </c>
      <c r="B923" s="482"/>
      <c r="C923" s="482"/>
      <c r="D923" s="145">
        <v>200</v>
      </c>
      <c r="E923" s="104">
        <v>0.2</v>
      </c>
      <c r="F923" s="104">
        <v>0.1</v>
      </c>
      <c r="G923" s="104">
        <v>21.5</v>
      </c>
      <c r="H923" s="43">
        <f>G923*4+F923*9+E923*4</f>
        <v>87.7</v>
      </c>
      <c r="I923" s="256" t="s">
        <v>332</v>
      </c>
      <c r="K923" s="313"/>
      <c r="L923" s="15"/>
    </row>
    <row r="924" spans="1:12" s="9" customFormat="1" ht="30" customHeight="1">
      <c r="A924" s="56" t="s">
        <v>353</v>
      </c>
      <c r="B924" s="177">
        <f>C924*1.06</f>
        <v>25.44</v>
      </c>
      <c r="C924" s="50">
        <v>24</v>
      </c>
      <c r="D924" s="230"/>
      <c r="E924" s="144"/>
      <c r="F924" s="144"/>
      <c r="G924" s="144"/>
      <c r="H924" s="247"/>
      <c r="I924" s="255"/>
      <c r="K924" s="313"/>
      <c r="L924" s="15"/>
    </row>
    <row r="925" spans="1:12" s="9" customFormat="1" ht="30" customHeight="1">
      <c r="A925" s="56" t="s">
        <v>351</v>
      </c>
      <c r="B925" s="177">
        <f>C925*1.06</f>
        <v>25.44</v>
      </c>
      <c r="C925" s="50">
        <v>24</v>
      </c>
      <c r="D925" s="230"/>
      <c r="E925" s="144"/>
      <c r="F925" s="144"/>
      <c r="G925" s="144"/>
      <c r="H925" s="247"/>
      <c r="I925" s="255"/>
      <c r="K925" s="313"/>
      <c r="L925" s="15"/>
    </row>
    <row r="926" spans="1:12" s="9" customFormat="1" ht="30" customHeight="1">
      <c r="A926" s="53" t="s">
        <v>4</v>
      </c>
      <c r="B926" s="50">
        <v>15</v>
      </c>
      <c r="C926" s="50">
        <v>15</v>
      </c>
      <c r="D926" s="230"/>
      <c r="E926" s="144"/>
      <c r="F926" s="144"/>
      <c r="G926" s="144"/>
      <c r="H926" s="247"/>
      <c r="I926" s="255"/>
      <c r="K926" s="313"/>
      <c r="L926" s="15"/>
    </row>
    <row r="927" spans="1:12" s="9" customFormat="1" ht="30" customHeight="1">
      <c r="A927" s="53" t="s">
        <v>333</v>
      </c>
      <c r="B927" s="50">
        <v>6</v>
      </c>
      <c r="C927" s="50">
        <v>6</v>
      </c>
      <c r="D927" s="230"/>
      <c r="E927" s="144"/>
      <c r="F927" s="144"/>
      <c r="G927" s="144"/>
      <c r="H927" s="247"/>
      <c r="I927" s="255"/>
      <c r="J927" s="61"/>
      <c r="K927" s="312"/>
      <c r="L927" s="15"/>
    </row>
    <row r="928" spans="1:12" ht="30" customHeight="1">
      <c r="A928" s="146" t="s">
        <v>20</v>
      </c>
      <c r="B928" s="36">
        <v>50</v>
      </c>
      <c r="C928" s="36">
        <v>50</v>
      </c>
      <c r="D928" s="23">
        <v>50</v>
      </c>
      <c r="E928" s="109">
        <v>2.5</v>
      </c>
      <c r="F928" s="109">
        <v>0.7000000000000001</v>
      </c>
      <c r="G928" s="109">
        <v>20.25</v>
      </c>
      <c r="H928" s="109">
        <v>97.3</v>
      </c>
      <c r="I928" s="232"/>
      <c r="L928" s="70"/>
    </row>
    <row r="929" spans="1:12" s="9" customFormat="1" ht="30" customHeight="1">
      <c r="A929" s="483" t="s">
        <v>74</v>
      </c>
      <c r="B929" s="482"/>
      <c r="C929" s="482"/>
      <c r="D929" s="77">
        <v>50</v>
      </c>
      <c r="E929" s="95"/>
      <c r="F929" s="95"/>
      <c r="G929" s="95"/>
      <c r="H929" s="95"/>
      <c r="I929" s="254"/>
      <c r="J929" s="61"/>
      <c r="K929" s="312"/>
      <c r="L929" s="15"/>
    </row>
    <row r="930" spans="1:12" ht="30" customHeight="1">
      <c r="A930" s="146" t="s">
        <v>26</v>
      </c>
      <c r="B930" s="36">
        <v>50</v>
      </c>
      <c r="C930" s="36">
        <v>50</v>
      </c>
      <c r="D930" s="23">
        <v>50</v>
      </c>
      <c r="E930" s="109">
        <v>1.75</v>
      </c>
      <c r="F930" s="109">
        <v>0.25</v>
      </c>
      <c r="G930" s="109">
        <v>23.5</v>
      </c>
      <c r="H930" s="109">
        <v>103.25</v>
      </c>
      <c r="L930" s="70"/>
    </row>
    <row r="931" spans="1:12" s="9" customFormat="1" ht="30" customHeight="1">
      <c r="A931" s="472" t="s">
        <v>24</v>
      </c>
      <c r="B931" s="472"/>
      <c r="C931" s="472"/>
      <c r="D931" s="472"/>
      <c r="E931" s="99">
        <f>E874+E857</f>
        <v>42.55</v>
      </c>
      <c r="F931" s="99">
        <f>F874+F857</f>
        <v>48.650000000000006</v>
      </c>
      <c r="G931" s="99">
        <f>G874+G857</f>
        <v>170.75</v>
      </c>
      <c r="H931" s="96">
        <f>H874+H857</f>
        <v>1291.0500000000002</v>
      </c>
      <c r="I931" s="254"/>
      <c r="K931" s="313"/>
      <c r="L931" s="15"/>
    </row>
    <row r="932" spans="1:12" s="9" customFormat="1" ht="30" customHeight="1">
      <c r="A932" s="478" t="s">
        <v>49</v>
      </c>
      <c r="B932" s="478"/>
      <c r="C932" s="478"/>
      <c r="D932" s="478"/>
      <c r="E932" s="478"/>
      <c r="F932" s="478"/>
      <c r="G932" s="478"/>
      <c r="H932" s="478"/>
      <c r="I932" s="478"/>
      <c r="J932" s="61"/>
      <c r="K932" s="312"/>
      <c r="L932" s="15"/>
    </row>
    <row r="933" spans="1:12" s="9" customFormat="1" ht="30" customHeight="1">
      <c r="A933" s="470" t="s">
        <v>0</v>
      </c>
      <c r="B933" s="471" t="s">
        <v>6</v>
      </c>
      <c r="C933" s="471" t="s">
        <v>7</v>
      </c>
      <c r="D933" s="470" t="s">
        <v>5</v>
      </c>
      <c r="E933" s="470"/>
      <c r="F933" s="470"/>
      <c r="G933" s="470"/>
      <c r="H933" s="470"/>
      <c r="I933" s="470"/>
      <c r="J933" s="61"/>
      <c r="K933" s="312"/>
      <c r="L933" s="15"/>
    </row>
    <row r="934" spans="1:12" s="9" customFormat="1" ht="30" customHeight="1">
      <c r="A934" s="470"/>
      <c r="B934" s="471"/>
      <c r="C934" s="471"/>
      <c r="D934" s="135" t="s">
        <v>8</v>
      </c>
      <c r="E934" s="281" t="s">
        <v>1</v>
      </c>
      <c r="F934" s="281" t="s">
        <v>2</v>
      </c>
      <c r="G934" s="281" t="s">
        <v>9</v>
      </c>
      <c r="H934" s="280" t="s">
        <v>3</v>
      </c>
      <c r="I934" s="282" t="s">
        <v>190</v>
      </c>
      <c r="K934" s="313"/>
      <c r="L934" s="15"/>
    </row>
    <row r="935" spans="1:12" s="9" customFormat="1" ht="30" customHeight="1">
      <c r="A935" s="485" t="s">
        <v>105</v>
      </c>
      <c r="B935" s="485"/>
      <c r="C935" s="485"/>
      <c r="D935" s="245">
        <f>D936+D962+D976+D977</f>
        <v>650</v>
      </c>
      <c r="E935" s="99">
        <f>E936+E962+E976+E977</f>
        <v>13.799999999999999</v>
      </c>
      <c r="F935" s="99">
        <f>F936+F962+F976+F977</f>
        <v>17</v>
      </c>
      <c r="G935" s="99">
        <f>G936+G962+G976+G977</f>
        <v>89.5</v>
      </c>
      <c r="H935" s="99">
        <f>H936+H962+H976+H977</f>
        <v>570.8</v>
      </c>
      <c r="I935" s="258"/>
      <c r="J935" s="61"/>
      <c r="K935" s="312"/>
      <c r="L935" s="15"/>
    </row>
    <row r="936" spans="1:11" s="9" customFormat="1" ht="30" customHeight="1">
      <c r="A936" s="497" t="s">
        <v>321</v>
      </c>
      <c r="B936" s="497"/>
      <c r="C936" s="497"/>
      <c r="D936" s="274">
        <v>200</v>
      </c>
      <c r="E936" s="109">
        <v>7.8</v>
      </c>
      <c r="F936" s="109">
        <v>8.9</v>
      </c>
      <c r="G936" s="109">
        <v>35.1</v>
      </c>
      <c r="H936" s="238">
        <f>E936*4+F936*9+G936*4</f>
        <v>251.70000000000002</v>
      </c>
      <c r="I936" s="226" t="s">
        <v>322</v>
      </c>
      <c r="J936" s="61"/>
      <c r="K936" s="314" t="s">
        <v>49</v>
      </c>
    </row>
    <row r="937" spans="1:12" s="9" customFormat="1" ht="30" customHeight="1">
      <c r="A937" s="52" t="s">
        <v>23</v>
      </c>
      <c r="B937" s="37">
        <v>15</v>
      </c>
      <c r="C937" s="37">
        <v>15</v>
      </c>
      <c r="D937" s="238"/>
      <c r="E937" s="41"/>
      <c r="F937" s="41"/>
      <c r="G937" s="41"/>
      <c r="H937" s="271"/>
      <c r="I937" s="255"/>
      <c r="J937" s="61"/>
      <c r="K937" s="301" t="s">
        <v>26</v>
      </c>
      <c r="L937" s="9">
        <f>D1042</f>
        <v>40</v>
      </c>
    </row>
    <row r="938" spans="1:12" s="9" customFormat="1" ht="30" customHeight="1">
      <c r="A938" s="52" t="s">
        <v>323</v>
      </c>
      <c r="B938" s="37">
        <v>11</v>
      </c>
      <c r="C938" s="37">
        <v>11</v>
      </c>
      <c r="D938" s="238"/>
      <c r="E938" s="41"/>
      <c r="F938" s="41"/>
      <c r="G938" s="41"/>
      <c r="H938" s="271"/>
      <c r="I938" s="255"/>
      <c r="J938" s="61"/>
      <c r="K938" s="301" t="s">
        <v>126</v>
      </c>
      <c r="L938" s="17">
        <f>D1040</f>
        <v>40</v>
      </c>
    </row>
    <row r="939" spans="1:12" s="9" customFormat="1" ht="30" customHeight="1">
      <c r="A939" s="53" t="s">
        <v>52</v>
      </c>
      <c r="B939" s="37">
        <v>172</v>
      </c>
      <c r="C939" s="37">
        <v>172</v>
      </c>
      <c r="D939" s="238"/>
      <c r="E939" s="109"/>
      <c r="F939" s="109"/>
      <c r="G939" s="109"/>
      <c r="H939" s="109"/>
      <c r="I939" s="255"/>
      <c r="J939" s="61"/>
      <c r="K939" s="301" t="s">
        <v>155</v>
      </c>
      <c r="L939" s="62">
        <f>C1023+C1028+C963</f>
        <v>59</v>
      </c>
    </row>
    <row r="940" spans="1:12" s="9" customFormat="1" ht="30" customHeight="1">
      <c r="A940" s="363" t="s">
        <v>38</v>
      </c>
      <c r="B940" s="364">
        <f>B939*460/1000</f>
        <v>79.12</v>
      </c>
      <c r="C940" s="364">
        <f>C939*460/1000</f>
        <v>79.12</v>
      </c>
      <c r="D940" s="238"/>
      <c r="E940" s="109"/>
      <c r="F940" s="109"/>
      <c r="G940" s="109"/>
      <c r="H940" s="238"/>
      <c r="I940" s="255"/>
      <c r="J940" s="61"/>
      <c r="K940" s="301" t="s">
        <v>66</v>
      </c>
      <c r="L940" s="62">
        <f>C1032+C937+C938</f>
        <v>64</v>
      </c>
    </row>
    <row r="941" spans="1:12" s="9" customFormat="1" ht="30" customHeight="1">
      <c r="A941" s="363" t="s">
        <v>39</v>
      </c>
      <c r="B941" s="364">
        <f>B939*120/1000</f>
        <v>20.64</v>
      </c>
      <c r="C941" s="364">
        <f>C939*120/1000</f>
        <v>20.64</v>
      </c>
      <c r="D941" s="238"/>
      <c r="E941" s="109"/>
      <c r="F941" s="109"/>
      <c r="G941" s="109"/>
      <c r="H941" s="238"/>
      <c r="I941" s="258"/>
      <c r="J941" s="61"/>
      <c r="K941" s="301" t="s">
        <v>65</v>
      </c>
      <c r="L941" s="62"/>
    </row>
    <row r="942" spans="1:12" s="9" customFormat="1" ht="30" customHeight="1">
      <c r="A942" s="331" t="s">
        <v>76</v>
      </c>
      <c r="B942" s="365">
        <f>B939-B940</f>
        <v>92.88</v>
      </c>
      <c r="C942" s="365">
        <f>C939-C940</f>
        <v>92.88</v>
      </c>
      <c r="D942" s="366"/>
      <c r="E942" s="367"/>
      <c r="F942" s="367"/>
      <c r="G942" s="367"/>
      <c r="H942" s="366"/>
      <c r="I942" s="255"/>
      <c r="J942" s="61"/>
      <c r="K942" s="301" t="s">
        <v>27</v>
      </c>
      <c r="L942" s="62">
        <f>C982+C1011</f>
        <v>87</v>
      </c>
    </row>
    <row r="943" spans="1:12" s="9" customFormat="1" ht="30" customHeight="1">
      <c r="A943" s="331" t="s">
        <v>77</v>
      </c>
      <c r="B943" s="365">
        <f>B939-B941</f>
        <v>151.36</v>
      </c>
      <c r="C943" s="365">
        <f>C939-C941</f>
        <v>151.36</v>
      </c>
      <c r="D943" s="366"/>
      <c r="E943" s="367"/>
      <c r="F943" s="367"/>
      <c r="G943" s="367"/>
      <c r="H943" s="366"/>
      <c r="I943" s="255"/>
      <c r="J943" s="61"/>
      <c r="K943" s="301" t="s">
        <v>201</v>
      </c>
      <c r="L943" s="17">
        <f>C986+C988+C990+C1015+C1017+C1020+C991</f>
        <v>92.2</v>
      </c>
    </row>
    <row r="944" spans="1:12" s="9" customFormat="1" ht="30" customHeight="1">
      <c r="A944" s="53" t="s">
        <v>4</v>
      </c>
      <c r="B944" s="35">
        <v>6</v>
      </c>
      <c r="C944" s="35">
        <v>6</v>
      </c>
      <c r="D944" s="136"/>
      <c r="E944" s="44"/>
      <c r="F944" s="44"/>
      <c r="G944" s="44"/>
      <c r="H944" s="43"/>
      <c r="I944" s="254"/>
      <c r="J944" s="61"/>
      <c r="K944" s="301" t="s">
        <v>28</v>
      </c>
      <c r="L944" s="61">
        <f>D976</f>
        <v>160</v>
      </c>
    </row>
    <row r="945" spans="1:12" s="9" customFormat="1" ht="30" customHeight="1">
      <c r="A945" s="53" t="s">
        <v>53</v>
      </c>
      <c r="B945" s="35">
        <v>1</v>
      </c>
      <c r="C945" s="35">
        <v>1</v>
      </c>
      <c r="D945" s="136"/>
      <c r="E945" s="44"/>
      <c r="F945" s="44"/>
      <c r="G945" s="44"/>
      <c r="H945" s="43"/>
      <c r="I945" s="255"/>
      <c r="J945" s="61"/>
      <c r="K945" s="301" t="s">
        <v>170</v>
      </c>
      <c r="L945" s="17"/>
    </row>
    <row r="946" spans="1:12" s="9" customFormat="1" ht="30" customHeight="1">
      <c r="A946" s="51" t="s">
        <v>19</v>
      </c>
      <c r="B946" s="5">
        <v>5</v>
      </c>
      <c r="C946" s="5">
        <v>5</v>
      </c>
      <c r="D946" s="21"/>
      <c r="E946" s="44"/>
      <c r="F946" s="44"/>
      <c r="G946" s="44"/>
      <c r="H946" s="43"/>
      <c r="I946" s="255"/>
      <c r="J946" s="61"/>
      <c r="K946" s="301" t="s">
        <v>202</v>
      </c>
      <c r="L946" s="17">
        <f>C944+C979</f>
        <v>18</v>
      </c>
    </row>
    <row r="947" spans="1:12" s="9" customFormat="1" ht="30" customHeight="1">
      <c r="A947" s="468" t="s">
        <v>69</v>
      </c>
      <c r="B947" s="468"/>
      <c r="C947" s="468"/>
      <c r="D947" s="468"/>
      <c r="E947" s="468"/>
      <c r="F947" s="468"/>
      <c r="G947" s="468"/>
      <c r="H947" s="468"/>
      <c r="I947" s="255"/>
      <c r="J947" s="61"/>
      <c r="K947" s="301" t="s">
        <v>357</v>
      </c>
      <c r="L947" s="1">
        <f>C1035</f>
        <v>200</v>
      </c>
    </row>
    <row r="948" spans="1:12" s="9" customFormat="1" ht="30" customHeight="1">
      <c r="A948" s="497" t="s">
        <v>206</v>
      </c>
      <c r="B948" s="497"/>
      <c r="C948" s="497"/>
      <c r="D948" s="274">
        <v>200</v>
      </c>
      <c r="E948" s="109">
        <v>8.3</v>
      </c>
      <c r="F948" s="109">
        <v>9.6</v>
      </c>
      <c r="G948" s="109">
        <v>30.8</v>
      </c>
      <c r="H948" s="238">
        <f>E948*4+F948*9+G948*4</f>
        <v>242.8</v>
      </c>
      <c r="I948" s="256" t="s">
        <v>207</v>
      </c>
      <c r="J948" s="61"/>
      <c r="K948" s="315" t="s">
        <v>29</v>
      </c>
      <c r="L948" s="1"/>
    </row>
    <row r="949" spans="1:12" s="9" customFormat="1" ht="30" customHeight="1">
      <c r="A949" s="54" t="s">
        <v>148</v>
      </c>
      <c r="B949" s="90">
        <v>40</v>
      </c>
      <c r="C949" s="90">
        <v>40</v>
      </c>
      <c r="D949" s="36"/>
      <c r="E949" s="41"/>
      <c r="F949" s="41"/>
      <c r="G949" s="41"/>
      <c r="H949" s="36"/>
      <c r="I949" s="255"/>
      <c r="J949" s="61"/>
      <c r="K949" s="301" t="s">
        <v>70</v>
      </c>
      <c r="L949" s="72">
        <f>C968</f>
        <v>0.45</v>
      </c>
    </row>
    <row r="950" spans="1:12" s="9" customFormat="1" ht="30" customHeight="1">
      <c r="A950" s="56" t="s">
        <v>52</v>
      </c>
      <c r="B950" s="90">
        <v>130</v>
      </c>
      <c r="C950" s="90">
        <v>130</v>
      </c>
      <c r="D950" s="36"/>
      <c r="E950" s="41"/>
      <c r="F950" s="41"/>
      <c r="G950" s="41"/>
      <c r="H950" s="36"/>
      <c r="I950" s="255"/>
      <c r="J950" s="61"/>
      <c r="K950" s="301" t="s">
        <v>182</v>
      </c>
      <c r="L950" s="72"/>
    </row>
    <row r="951" spans="1:12" s="9" customFormat="1" ht="30" customHeight="1">
      <c r="A951" s="368" t="s">
        <v>38</v>
      </c>
      <c r="B951" s="369">
        <f>B950*460/1000</f>
        <v>59.8</v>
      </c>
      <c r="C951" s="369">
        <f>C950*460/1000</f>
        <v>59.8</v>
      </c>
      <c r="D951" s="36"/>
      <c r="E951" s="41"/>
      <c r="F951" s="41"/>
      <c r="G951" s="41"/>
      <c r="H951" s="36"/>
      <c r="I951" s="255"/>
      <c r="J951" s="61"/>
      <c r="K951" s="301" t="s">
        <v>183</v>
      </c>
      <c r="L951" s="63"/>
    </row>
    <row r="952" spans="1:12" s="9" customFormat="1" ht="30" customHeight="1">
      <c r="A952" s="368" t="s">
        <v>39</v>
      </c>
      <c r="B952" s="369">
        <f>B950*120/1000</f>
        <v>15.6</v>
      </c>
      <c r="C952" s="369">
        <f>C950*120/1000</f>
        <v>15.6</v>
      </c>
      <c r="D952" s="36"/>
      <c r="E952" s="41"/>
      <c r="F952" s="41"/>
      <c r="G952" s="41"/>
      <c r="H952" s="36"/>
      <c r="I952" s="255"/>
      <c r="J952" s="61"/>
      <c r="K952" s="316" t="s">
        <v>30</v>
      </c>
      <c r="L952" s="6">
        <f>C978</f>
        <v>1</v>
      </c>
    </row>
    <row r="953" spans="1:12" s="9" customFormat="1" ht="30" customHeight="1">
      <c r="A953" s="331" t="s">
        <v>76</v>
      </c>
      <c r="B953" s="370">
        <f>B950-B951</f>
        <v>70.2</v>
      </c>
      <c r="C953" s="370">
        <f>C950-C951</f>
        <v>70.2</v>
      </c>
      <c r="D953" s="36"/>
      <c r="E953" s="371"/>
      <c r="F953" s="371"/>
      <c r="G953" s="371"/>
      <c r="H953" s="372"/>
      <c r="I953" s="255"/>
      <c r="J953" s="61"/>
      <c r="K953" s="301" t="s">
        <v>172</v>
      </c>
      <c r="L953" s="6"/>
    </row>
    <row r="954" spans="1:12" s="9" customFormat="1" ht="30" customHeight="1">
      <c r="A954" s="331" t="s">
        <v>77</v>
      </c>
      <c r="B954" s="370">
        <f>B950-B952</f>
        <v>114.4</v>
      </c>
      <c r="C954" s="370">
        <f>C950-C952</f>
        <v>114.4</v>
      </c>
      <c r="D954" s="36"/>
      <c r="E954" s="371"/>
      <c r="F954" s="371"/>
      <c r="G954" s="371"/>
      <c r="H954" s="372"/>
      <c r="I954" s="255"/>
      <c r="J954" s="61"/>
      <c r="K954" s="301" t="s">
        <v>174</v>
      </c>
      <c r="L954" s="72">
        <f>C1007</f>
        <v>14</v>
      </c>
    </row>
    <row r="955" spans="1:12" s="9" customFormat="1" ht="30" customHeight="1">
      <c r="A955" s="373" t="s">
        <v>208</v>
      </c>
      <c r="B955" s="374"/>
      <c r="C955" s="375">
        <v>155</v>
      </c>
      <c r="D955" s="36"/>
      <c r="E955" s="371"/>
      <c r="F955" s="371"/>
      <c r="G955" s="371"/>
      <c r="H955" s="372"/>
      <c r="I955" s="255"/>
      <c r="J955" s="61"/>
      <c r="K955" s="301" t="s">
        <v>173</v>
      </c>
      <c r="L955" s="72">
        <f>C1022</f>
        <v>93</v>
      </c>
    </row>
    <row r="956" spans="1:12" s="9" customFormat="1" ht="30" customHeight="1">
      <c r="A956" s="373" t="s">
        <v>209</v>
      </c>
      <c r="B956" s="374"/>
      <c r="C956" s="375">
        <v>25</v>
      </c>
      <c r="D956" s="36"/>
      <c r="E956" s="371"/>
      <c r="F956" s="371"/>
      <c r="G956" s="371"/>
      <c r="H956" s="372"/>
      <c r="I956" s="255"/>
      <c r="J956" s="61"/>
      <c r="K956" s="301" t="s">
        <v>175</v>
      </c>
      <c r="L956" s="72"/>
    </row>
    <row r="957" spans="1:12" s="9" customFormat="1" ht="30" customHeight="1">
      <c r="A957" s="56" t="s">
        <v>4</v>
      </c>
      <c r="B957" s="141">
        <v>5</v>
      </c>
      <c r="C957" s="141">
        <v>5</v>
      </c>
      <c r="D957" s="5"/>
      <c r="E957" s="95"/>
      <c r="F957" s="95"/>
      <c r="G957" s="95"/>
      <c r="H957" s="276"/>
      <c r="I957" s="255"/>
      <c r="J957" s="61"/>
      <c r="K957" s="305" t="s">
        <v>80</v>
      </c>
      <c r="L957" s="6">
        <f>C939+C969</f>
        <v>175.6</v>
      </c>
    </row>
    <row r="958" spans="1:12" s="9" customFormat="1" ht="30" customHeight="1">
      <c r="A958" s="56" t="s">
        <v>62</v>
      </c>
      <c r="B958" s="141">
        <v>25</v>
      </c>
      <c r="C958" s="141">
        <v>25</v>
      </c>
      <c r="D958" s="5"/>
      <c r="E958" s="95"/>
      <c r="F958" s="95"/>
      <c r="G958" s="95"/>
      <c r="H958" s="276"/>
      <c r="I958" s="255"/>
      <c r="J958" s="61"/>
      <c r="K958" s="307" t="s">
        <v>176</v>
      </c>
      <c r="L958" s="6"/>
    </row>
    <row r="959" spans="1:12" s="9" customFormat="1" ht="30" customHeight="1">
      <c r="A959" s="56" t="s">
        <v>210</v>
      </c>
      <c r="B959" s="90">
        <f>C959*1.76</f>
        <v>35.2</v>
      </c>
      <c r="C959" s="90">
        <v>20</v>
      </c>
      <c r="D959" s="36"/>
      <c r="E959" s="371"/>
      <c r="F959" s="371"/>
      <c r="G959" s="371"/>
      <c r="H959" s="372"/>
      <c r="I959" s="255"/>
      <c r="J959" s="61"/>
      <c r="K959" s="301" t="s">
        <v>177</v>
      </c>
      <c r="L959" s="6"/>
    </row>
    <row r="960" spans="1:12" s="9" customFormat="1" ht="30" customHeight="1">
      <c r="A960" s="373" t="s">
        <v>211</v>
      </c>
      <c r="B960" s="90"/>
      <c r="C960" s="375">
        <v>44</v>
      </c>
      <c r="D960" s="36"/>
      <c r="E960" s="371"/>
      <c r="F960" s="371"/>
      <c r="G960" s="371"/>
      <c r="H960" s="372"/>
      <c r="I960" s="255"/>
      <c r="J960" s="61"/>
      <c r="K960" s="301" t="s">
        <v>31</v>
      </c>
      <c r="L960" s="6">
        <f>C1027+C966</f>
        <v>19</v>
      </c>
    </row>
    <row r="961" spans="1:12" s="9" customFormat="1" ht="30" customHeight="1">
      <c r="A961" s="57" t="s">
        <v>19</v>
      </c>
      <c r="B961" s="139">
        <v>5</v>
      </c>
      <c r="C961" s="139">
        <v>5</v>
      </c>
      <c r="D961" s="5"/>
      <c r="E961" s="95"/>
      <c r="F961" s="95"/>
      <c r="G961" s="95"/>
      <c r="H961" s="276"/>
      <c r="I961" s="254"/>
      <c r="J961" s="61"/>
      <c r="K961" s="301" t="s">
        <v>178</v>
      </c>
      <c r="L961" s="6">
        <f>C964</f>
        <v>18</v>
      </c>
    </row>
    <row r="962" spans="1:12" s="9" customFormat="1" ht="30" customHeight="1">
      <c r="A962" s="476" t="s">
        <v>472</v>
      </c>
      <c r="B962" s="476"/>
      <c r="C962" s="476"/>
      <c r="D962" s="23">
        <v>90</v>
      </c>
      <c r="E962" s="110">
        <v>5.4</v>
      </c>
      <c r="F962" s="110">
        <v>8</v>
      </c>
      <c r="G962" s="110">
        <v>27.5</v>
      </c>
      <c r="H962" s="136">
        <f>E962*4+F962*9+G962*4</f>
        <v>203.6</v>
      </c>
      <c r="I962" s="221" t="s">
        <v>394</v>
      </c>
      <c r="J962" s="61"/>
      <c r="K962" s="301" t="s">
        <v>32</v>
      </c>
      <c r="L962" s="6">
        <f>C946+C1034+C1030+C1018+C965</f>
        <v>43</v>
      </c>
    </row>
    <row r="963" spans="1:12" s="9" customFormat="1" ht="30" customHeight="1">
      <c r="A963" s="53" t="s">
        <v>21</v>
      </c>
      <c r="B963" s="37">
        <v>54</v>
      </c>
      <c r="C963" s="37">
        <v>54</v>
      </c>
      <c r="D963" s="435"/>
      <c r="E963" s="435"/>
      <c r="F963" s="436"/>
      <c r="G963" s="436"/>
      <c r="H963" s="435"/>
      <c r="I963" s="437"/>
      <c r="J963" s="61"/>
      <c r="K963" s="301" t="s">
        <v>33</v>
      </c>
      <c r="L963" s="115">
        <f>C992+C1024+C975</f>
        <v>7.5</v>
      </c>
    </row>
    <row r="964" spans="1:12" s="9" customFormat="1" ht="30" customHeight="1">
      <c r="A964" s="53" t="s">
        <v>96</v>
      </c>
      <c r="B964" s="37">
        <v>19</v>
      </c>
      <c r="C964" s="37">
        <v>18</v>
      </c>
      <c r="D964" s="435"/>
      <c r="E964" s="436"/>
      <c r="F964" s="436"/>
      <c r="G964" s="436"/>
      <c r="H964" s="435"/>
      <c r="I964" s="437"/>
      <c r="J964" s="61"/>
      <c r="K964" s="301" t="s">
        <v>179</v>
      </c>
      <c r="L964" s="6">
        <f>B864+C1019+C974</f>
        <v>22.5</v>
      </c>
    </row>
    <row r="965" spans="1:12" s="9" customFormat="1" ht="30" customHeight="1">
      <c r="A965" s="53" t="s">
        <v>19</v>
      </c>
      <c r="B965" s="37">
        <v>27</v>
      </c>
      <c r="C965" s="37">
        <v>27</v>
      </c>
      <c r="D965" s="435"/>
      <c r="E965" s="435"/>
      <c r="F965" s="41"/>
      <c r="G965" s="41"/>
      <c r="H965" s="37"/>
      <c r="I965" s="221"/>
      <c r="J965" s="61"/>
      <c r="K965" s="301" t="s">
        <v>334</v>
      </c>
      <c r="L965" s="15"/>
    </row>
    <row r="966" spans="1:12" s="9" customFormat="1" ht="30" customHeight="1">
      <c r="A966" s="53" t="s">
        <v>56</v>
      </c>
      <c r="B966" s="37">
        <v>9</v>
      </c>
      <c r="C966" s="37">
        <v>9</v>
      </c>
      <c r="D966" s="435"/>
      <c r="E966" s="435"/>
      <c r="F966" s="41"/>
      <c r="G966" s="41"/>
      <c r="H966" s="37"/>
      <c r="I966" s="221"/>
      <c r="J966" s="61"/>
      <c r="K966" s="301" t="s">
        <v>181</v>
      </c>
      <c r="L966" s="15">
        <v>1.5</v>
      </c>
    </row>
    <row r="967" spans="1:12" s="9" customFormat="1" ht="30" customHeight="1">
      <c r="A967" s="53" t="s">
        <v>414</v>
      </c>
      <c r="B967" s="41">
        <v>1.8</v>
      </c>
      <c r="C967" s="41">
        <v>1.8</v>
      </c>
      <c r="D967" s="435"/>
      <c r="E967" s="435"/>
      <c r="F967" s="41"/>
      <c r="G967" s="41"/>
      <c r="H967" s="37"/>
      <c r="I967" s="243"/>
      <c r="J967" s="61"/>
      <c r="K967" s="301" t="s">
        <v>180</v>
      </c>
      <c r="L967" s="15">
        <v>1</v>
      </c>
    </row>
    <row r="968" spans="1:12" s="9" customFormat="1" ht="30" customHeight="1">
      <c r="A968" s="51" t="s">
        <v>415</v>
      </c>
      <c r="B968" s="41">
        <f>B967*0.25</f>
        <v>0.45</v>
      </c>
      <c r="C968" s="41">
        <f>C967*0.25</f>
        <v>0.45</v>
      </c>
      <c r="D968" s="435"/>
      <c r="E968" s="435"/>
      <c r="F968" s="41"/>
      <c r="G968" s="41"/>
      <c r="H968" s="37"/>
      <c r="I968" s="221"/>
      <c r="J968" s="61"/>
      <c r="K968" s="312"/>
      <c r="L968" s="15"/>
    </row>
    <row r="969" spans="1:12" s="9" customFormat="1" ht="30" customHeight="1">
      <c r="A969" s="53" t="s">
        <v>52</v>
      </c>
      <c r="B969" s="41">
        <v>3.6</v>
      </c>
      <c r="C969" s="41">
        <v>3.6</v>
      </c>
      <c r="D969" s="435"/>
      <c r="E969" s="435"/>
      <c r="F969" s="435"/>
      <c r="G969" s="435"/>
      <c r="H969" s="435"/>
      <c r="I969" s="438"/>
      <c r="J969" s="61"/>
      <c r="K969" s="312"/>
      <c r="L969" s="15"/>
    </row>
    <row r="970" spans="1:12" s="9" customFormat="1" ht="30" customHeight="1">
      <c r="A970" s="58" t="s">
        <v>38</v>
      </c>
      <c r="B970" s="89">
        <f>B969*460/1000</f>
        <v>1.656</v>
      </c>
      <c r="C970" s="89">
        <f>C969*460/1000</f>
        <v>1.656</v>
      </c>
      <c r="D970" s="435"/>
      <c r="E970" s="435"/>
      <c r="F970" s="435"/>
      <c r="G970" s="435"/>
      <c r="H970" s="435"/>
      <c r="I970" s="437"/>
      <c r="J970" s="61"/>
      <c r="K970" s="312"/>
      <c r="L970" s="15"/>
    </row>
    <row r="971" spans="1:12" s="9" customFormat="1" ht="30" customHeight="1">
      <c r="A971" s="58" t="s">
        <v>39</v>
      </c>
      <c r="B971" s="439">
        <f>B969*120/1000</f>
        <v>0.432</v>
      </c>
      <c r="C971" s="439">
        <f>C969*120/1000</f>
        <v>0.432</v>
      </c>
      <c r="D971" s="435"/>
      <c r="E971" s="435"/>
      <c r="F971" s="435"/>
      <c r="G971" s="435"/>
      <c r="H971" s="435"/>
      <c r="I971" s="437"/>
      <c r="J971" s="61"/>
      <c r="K971" s="312"/>
      <c r="L971" s="15"/>
    </row>
    <row r="972" spans="1:12" s="9" customFormat="1" ht="30" customHeight="1">
      <c r="A972" s="181" t="s">
        <v>149</v>
      </c>
      <c r="B972" s="182">
        <f>B969-B970</f>
        <v>1.9440000000000002</v>
      </c>
      <c r="C972" s="182">
        <f>C969-C970</f>
        <v>1.9440000000000002</v>
      </c>
      <c r="D972" s="435"/>
      <c r="E972" s="435"/>
      <c r="F972" s="435"/>
      <c r="G972" s="435"/>
      <c r="H972" s="435"/>
      <c r="I972" s="437"/>
      <c r="J972" s="61"/>
      <c r="K972" s="312"/>
      <c r="L972" s="15"/>
    </row>
    <row r="973" spans="1:12" s="9" customFormat="1" ht="30" customHeight="1">
      <c r="A973" s="181" t="s">
        <v>150</v>
      </c>
      <c r="B973" s="182">
        <f>B969-B971</f>
        <v>3.168</v>
      </c>
      <c r="C973" s="182">
        <f>C969-C971</f>
        <v>3.168</v>
      </c>
      <c r="D973" s="435"/>
      <c r="E973" s="435"/>
      <c r="F973" s="435"/>
      <c r="G973" s="435"/>
      <c r="H973" s="435"/>
      <c r="I973" s="437"/>
      <c r="J973" s="61"/>
      <c r="K973" s="312"/>
      <c r="L973" s="15"/>
    </row>
    <row r="974" spans="1:12" s="9" customFormat="1" ht="30" customHeight="1">
      <c r="A974" s="53" t="s">
        <v>416</v>
      </c>
      <c r="B974" s="41">
        <v>4.5</v>
      </c>
      <c r="C974" s="41">
        <v>4.5</v>
      </c>
      <c r="D974" s="435"/>
      <c r="E974" s="435"/>
      <c r="F974" s="435"/>
      <c r="G974" s="435"/>
      <c r="H974" s="435"/>
      <c r="I974" s="438"/>
      <c r="J974" s="61"/>
      <c r="K974" s="312"/>
      <c r="L974" s="15"/>
    </row>
    <row r="975" spans="1:12" s="9" customFormat="1" ht="30" customHeight="1">
      <c r="A975" s="53" t="s">
        <v>161</v>
      </c>
      <c r="B975" s="41">
        <v>0.5</v>
      </c>
      <c r="C975" s="41">
        <v>0.5</v>
      </c>
      <c r="D975" s="435"/>
      <c r="E975" s="435"/>
      <c r="F975" s="435"/>
      <c r="G975" s="435"/>
      <c r="H975" s="435"/>
      <c r="I975" s="437"/>
      <c r="J975" s="61"/>
      <c r="K975" s="312"/>
      <c r="L975" s="15"/>
    </row>
    <row r="976" spans="1:12" s="9" customFormat="1" ht="30" customHeight="1">
      <c r="A976" s="476" t="s">
        <v>94</v>
      </c>
      <c r="B976" s="482"/>
      <c r="C976" s="482"/>
      <c r="D976" s="26">
        <v>160</v>
      </c>
      <c r="E976" s="45">
        <v>0.4</v>
      </c>
      <c r="F976" s="45">
        <v>0.1</v>
      </c>
      <c r="G976" s="45">
        <v>15</v>
      </c>
      <c r="H976" s="43">
        <f>E976*4+F976*9+G976*4</f>
        <v>62.5</v>
      </c>
      <c r="I976" s="256" t="s">
        <v>205</v>
      </c>
      <c r="J976" s="61"/>
      <c r="K976" s="312"/>
      <c r="L976" s="15"/>
    </row>
    <row r="977" spans="1:12" s="9" customFormat="1" ht="30" customHeight="1">
      <c r="A977" s="469" t="s">
        <v>225</v>
      </c>
      <c r="B977" s="469"/>
      <c r="C977" s="469"/>
      <c r="D977" s="21">
        <v>200</v>
      </c>
      <c r="E977" s="21">
        <v>0.2</v>
      </c>
      <c r="F977" s="110">
        <v>0</v>
      </c>
      <c r="G977" s="21">
        <v>11.9</v>
      </c>
      <c r="H977" s="21">
        <v>53</v>
      </c>
      <c r="I977" s="256" t="s">
        <v>226</v>
      </c>
      <c r="J977" s="61"/>
      <c r="K977" s="312"/>
      <c r="L977" s="15"/>
    </row>
    <row r="978" spans="1:12" s="9" customFormat="1" ht="30" customHeight="1">
      <c r="A978" s="51" t="s">
        <v>110</v>
      </c>
      <c r="B978" s="5">
        <v>1</v>
      </c>
      <c r="C978" s="5">
        <v>1</v>
      </c>
      <c r="D978" s="5"/>
      <c r="E978" s="5"/>
      <c r="F978" s="5"/>
      <c r="G978" s="5"/>
      <c r="H978" s="5"/>
      <c r="I978" s="255"/>
      <c r="J978" s="61"/>
      <c r="K978" s="312"/>
      <c r="L978" s="15"/>
    </row>
    <row r="979" spans="1:12" s="9" customFormat="1" ht="30" customHeight="1">
      <c r="A979" s="51" t="s">
        <v>4</v>
      </c>
      <c r="B979" s="5">
        <v>12</v>
      </c>
      <c r="C979" s="5">
        <v>12</v>
      </c>
      <c r="D979" s="5"/>
      <c r="E979" s="5"/>
      <c r="F979" s="5"/>
      <c r="G979" s="43"/>
      <c r="H979" s="274"/>
      <c r="I979" s="255"/>
      <c r="J979" s="61"/>
      <c r="K979" s="312"/>
      <c r="L979" s="15"/>
    </row>
    <row r="980" spans="1:9" s="9" customFormat="1" ht="30" customHeight="1">
      <c r="A980" s="485" t="s">
        <v>57</v>
      </c>
      <c r="B980" s="485"/>
      <c r="C980" s="485"/>
      <c r="D980" s="245">
        <f>D981+260+D1021+D1031+D1035</f>
        <v>770</v>
      </c>
      <c r="E980" s="99">
        <f>E981+E1004+E1021+E1031+E1035+E1040+E1042</f>
        <v>25.41666666666666</v>
      </c>
      <c r="F980" s="99">
        <f>F981+F1004+F1021+F1031+F1035+F1040+F1042</f>
        <v>25.174999999999997</v>
      </c>
      <c r="G980" s="99">
        <f>G981+G1004+G1021+G1031+G1035+G1040+G1042</f>
        <v>98.11666666666666</v>
      </c>
      <c r="H980" s="99">
        <f>H981+H1004+H1021+H1031+H1035+H1040+H1042</f>
        <v>718.4416666666666</v>
      </c>
      <c r="I980" s="255"/>
    </row>
    <row r="981" spans="1:9" s="9" customFormat="1" ht="30" customHeight="1">
      <c r="A981" s="497" t="s">
        <v>482</v>
      </c>
      <c r="B981" s="497"/>
      <c r="C981" s="497"/>
      <c r="D981" s="23">
        <v>60</v>
      </c>
      <c r="E981" s="44">
        <v>1.05</v>
      </c>
      <c r="F981" s="44">
        <v>3.0749999999999997</v>
      </c>
      <c r="G981" s="44">
        <v>3.45</v>
      </c>
      <c r="H981" s="239">
        <v>45.675</v>
      </c>
      <c r="I981" s="464" t="s">
        <v>483</v>
      </c>
    </row>
    <row r="982" spans="1:9" s="9" customFormat="1" ht="30" customHeight="1">
      <c r="A982" s="51" t="s">
        <v>12</v>
      </c>
      <c r="B982" s="22">
        <f>C982*1.33</f>
        <v>15.96</v>
      </c>
      <c r="C982" s="35">
        <v>12</v>
      </c>
      <c r="D982" s="36"/>
      <c r="E982" s="95"/>
      <c r="F982" s="95"/>
      <c r="G982" s="95"/>
      <c r="H982" s="276"/>
      <c r="I982" s="254"/>
    </row>
    <row r="983" spans="1:9" s="9" customFormat="1" ht="30" customHeight="1">
      <c r="A983" s="51" t="s">
        <v>13</v>
      </c>
      <c r="B983" s="22">
        <f>C983*1.43</f>
        <v>17.16</v>
      </c>
      <c r="C983" s="35">
        <v>12</v>
      </c>
      <c r="D983" s="36"/>
      <c r="E983" s="95"/>
      <c r="F983" s="95"/>
      <c r="G983" s="95"/>
      <c r="H983" s="95"/>
      <c r="I983" s="255"/>
    </row>
    <row r="984" spans="1:9" s="9" customFormat="1" ht="30" customHeight="1">
      <c r="A984" s="53" t="s">
        <v>14</v>
      </c>
      <c r="B984" s="22">
        <f>C984*1.54</f>
        <v>18.48</v>
      </c>
      <c r="C984" s="35">
        <v>12</v>
      </c>
      <c r="D984" s="36"/>
      <c r="E984" s="95"/>
      <c r="F984" s="95"/>
      <c r="G984" s="95"/>
      <c r="H984" s="43"/>
      <c r="I984" s="255"/>
    </row>
    <row r="985" spans="1:9" s="9" customFormat="1" ht="30" customHeight="1">
      <c r="A985" s="53" t="s">
        <v>15</v>
      </c>
      <c r="B985" s="22">
        <f>C985*1.67</f>
        <v>20.04</v>
      </c>
      <c r="C985" s="35">
        <v>12</v>
      </c>
      <c r="D985" s="36"/>
      <c r="E985" s="95"/>
      <c r="F985" s="95"/>
      <c r="G985" s="95"/>
      <c r="H985" s="43"/>
      <c r="I985" s="255"/>
    </row>
    <row r="986" spans="1:9" s="9" customFormat="1" ht="30" customHeight="1">
      <c r="A986" s="51" t="s">
        <v>17</v>
      </c>
      <c r="B986" s="40">
        <f>C986*1.25</f>
        <v>12.5</v>
      </c>
      <c r="C986" s="35">
        <v>10</v>
      </c>
      <c r="D986" s="36"/>
      <c r="E986" s="95"/>
      <c r="F986" s="95"/>
      <c r="G986" s="95"/>
      <c r="H986" s="95"/>
      <c r="I986" s="254"/>
    </row>
    <row r="987" spans="1:9" s="9" customFormat="1" ht="30" customHeight="1">
      <c r="A987" s="51" t="s">
        <v>16</v>
      </c>
      <c r="B987" s="40">
        <f>C987*1.33</f>
        <v>13.3</v>
      </c>
      <c r="C987" s="35">
        <v>10</v>
      </c>
      <c r="D987" s="36"/>
      <c r="E987" s="95"/>
      <c r="F987" s="95"/>
      <c r="G987" s="95"/>
      <c r="H987" s="87"/>
      <c r="I987" s="254"/>
    </row>
    <row r="988" spans="1:9" s="9" customFormat="1" ht="30" customHeight="1">
      <c r="A988" s="51" t="s">
        <v>60</v>
      </c>
      <c r="B988" s="40">
        <f>C988*1.25</f>
        <v>12.5</v>
      </c>
      <c r="C988" s="35">
        <v>10</v>
      </c>
      <c r="D988" s="36"/>
      <c r="E988" s="95"/>
      <c r="F988" s="95"/>
      <c r="G988" s="95"/>
      <c r="H988" s="95"/>
      <c r="I988" s="254"/>
    </row>
    <row r="989" spans="1:9" s="9" customFormat="1" ht="30" customHeight="1">
      <c r="A989" s="51" t="s">
        <v>16</v>
      </c>
      <c r="B989" s="40">
        <f>C989*1.33</f>
        <v>13.3</v>
      </c>
      <c r="C989" s="35">
        <v>10</v>
      </c>
      <c r="D989" s="36"/>
      <c r="E989" s="95"/>
      <c r="F989" s="95"/>
      <c r="G989" s="95"/>
      <c r="H989" s="87"/>
      <c r="I989" s="254"/>
    </row>
    <row r="990" spans="1:9" s="9" customFormat="1" ht="30" customHeight="1">
      <c r="A990" s="51" t="s">
        <v>108</v>
      </c>
      <c r="B990" s="35">
        <f>C990*1.82</f>
        <v>21.84</v>
      </c>
      <c r="C990" s="35">
        <v>12</v>
      </c>
      <c r="D990" s="36"/>
      <c r="E990" s="95"/>
      <c r="F990" s="95"/>
      <c r="G990" s="95"/>
      <c r="H990" s="87"/>
      <c r="I990" s="254"/>
    </row>
    <row r="991" spans="1:9" s="9" customFormat="1" ht="30" customHeight="1">
      <c r="A991" s="57" t="s">
        <v>162</v>
      </c>
      <c r="B991" s="35">
        <f>C991*1.67</f>
        <v>33.4</v>
      </c>
      <c r="C991" s="35">
        <v>20</v>
      </c>
      <c r="D991" s="36"/>
      <c r="E991" s="95"/>
      <c r="F991" s="95"/>
      <c r="G991" s="95"/>
      <c r="H991" s="87"/>
      <c r="I991" s="254"/>
    </row>
    <row r="992" spans="1:9" s="9" customFormat="1" ht="30" customHeight="1">
      <c r="A992" s="53" t="s">
        <v>119</v>
      </c>
      <c r="B992" s="36">
        <v>3</v>
      </c>
      <c r="C992" s="36">
        <v>3</v>
      </c>
      <c r="D992" s="36"/>
      <c r="E992" s="95"/>
      <c r="F992" s="95"/>
      <c r="G992" s="44"/>
      <c r="H992" s="274"/>
      <c r="I992" s="254"/>
    </row>
    <row r="993" spans="1:9" s="9" customFormat="1" ht="30" customHeight="1">
      <c r="A993" s="468" t="s">
        <v>69</v>
      </c>
      <c r="B993" s="468"/>
      <c r="C993" s="468"/>
      <c r="D993" s="468"/>
      <c r="E993" s="468"/>
      <c r="F993" s="468"/>
      <c r="G993" s="468"/>
      <c r="H993" s="468"/>
      <c r="I993" s="468"/>
    </row>
    <row r="994" spans="1:9" s="9" customFormat="1" ht="30" customHeight="1">
      <c r="A994" s="476" t="s">
        <v>325</v>
      </c>
      <c r="B994" s="475"/>
      <c r="C994" s="475"/>
      <c r="D994" s="23">
        <v>60</v>
      </c>
      <c r="E994" s="44">
        <v>0.84</v>
      </c>
      <c r="F994" s="44">
        <v>3.12</v>
      </c>
      <c r="G994" s="44">
        <v>3.6</v>
      </c>
      <c r="H994" s="43">
        <f>G994*4+F994*9+E994*4</f>
        <v>45.84</v>
      </c>
      <c r="I994" s="201" t="s">
        <v>326</v>
      </c>
    </row>
    <row r="995" spans="1:9" s="9" customFormat="1" ht="30" customHeight="1">
      <c r="A995" s="57" t="s">
        <v>98</v>
      </c>
      <c r="B995" s="140">
        <f>C995*1.02</f>
        <v>15.3</v>
      </c>
      <c r="C995" s="141">
        <v>15</v>
      </c>
      <c r="D995" s="36"/>
      <c r="E995" s="95"/>
      <c r="F995" s="95"/>
      <c r="G995" s="95"/>
      <c r="H995" s="95"/>
      <c r="I995" s="259"/>
    </row>
    <row r="996" spans="1:9" s="9" customFormat="1" ht="30" customHeight="1">
      <c r="A996" s="56" t="s">
        <v>99</v>
      </c>
      <c r="B996" s="141">
        <f>C996*1.18</f>
        <v>17.7</v>
      </c>
      <c r="C996" s="141">
        <v>15</v>
      </c>
      <c r="D996" s="36"/>
      <c r="E996" s="95"/>
      <c r="F996" s="95"/>
      <c r="G996" s="95"/>
      <c r="H996" s="95"/>
      <c r="I996" s="259"/>
    </row>
    <row r="997" spans="1:9" s="9" customFormat="1" ht="30" customHeight="1">
      <c r="A997" s="57" t="s">
        <v>327</v>
      </c>
      <c r="B997" s="140">
        <f>C997*1.02</f>
        <v>14.280000000000001</v>
      </c>
      <c r="C997" s="141">
        <v>14</v>
      </c>
      <c r="D997" s="36"/>
      <c r="E997" s="95"/>
      <c r="F997" s="95"/>
      <c r="G997" s="95"/>
      <c r="H997" s="95"/>
      <c r="I997" s="259"/>
    </row>
    <row r="998" spans="1:9" s="9" customFormat="1" ht="30" customHeight="1">
      <c r="A998" s="57" t="s">
        <v>328</v>
      </c>
      <c r="B998" s="141">
        <f>C998*1.05</f>
        <v>14.700000000000001</v>
      </c>
      <c r="C998" s="141">
        <v>14</v>
      </c>
      <c r="D998" s="36"/>
      <c r="E998" s="95"/>
      <c r="F998" s="95"/>
      <c r="G998" s="95"/>
      <c r="H998" s="87"/>
      <c r="I998" s="259"/>
    </row>
    <row r="999" spans="1:9" s="9" customFormat="1" ht="30" customHeight="1">
      <c r="A999" s="57" t="s">
        <v>329</v>
      </c>
      <c r="B999" s="140">
        <f>C999*1.33</f>
        <v>9.31</v>
      </c>
      <c r="C999" s="141">
        <v>7</v>
      </c>
      <c r="D999" s="36"/>
      <c r="E999" s="95"/>
      <c r="F999" s="95"/>
      <c r="G999" s="95"/>
      <c r="H999" s="87"/>
      <c r="I999" s="201"/>
    </row>
    <row r="1000" spans="1:9" s="9" customFormat="1" ht="30" customHeight="1">
      <c r="A1000" s="57" t="s">
        <v>55</v>
      </c>
      <c r="B1000" s="141">
        <f>C1000*1.25</f>
        <v>26.25</v>
      </c>
      <c r="C1000" s="141">
        <v>21</v>
      </c>
      <c r="D1000" s="36"/>
      <c r="E1000" s="95"/>
      <c r="F1000" s="95"/>
      <c r="G1000" s="95"/>
      <c r="H1000" s="87"/>
      <c r="I1000" s="201"/>
    </row>
    <row r="1001" spans="1:9" s="9" customFormat="1" ht="30" customHeight="1">
      <c r="A1001" s="57" t="s">
        <v>330</v>
      </c>
      <c r="B1001" s="140">
        <v>0.5</v>
      </c>
      <c r="C1001" s="140">
        <v>0.5</v>
      </c>
      <c r="D1001" s="36"/>
      <c r="E1001" s="95"/>
      <c r="F1001" s="95"/>
      <c r="G1001" s="95"/>
      <c r="H1001" s="87"/>
      <c r="I1001" s="201"/>
    </row>
    <row r="1002" spans="1:9" s="9" customFormat="1" ht="30" customHeight="1">
      <c r="A1002" s="57" t="s">
        <v>4</v>
      </c>
      <c r="B1002" s="140">
        <v>0.6</v>
      </c>
      <c r="C1002" s="140">
        <v>0.6</v>
      </c>
      <c r="D1002" s="36"/>
      <c r="E1002" s="95"/>
      <c r="F1002" s="95"/>
      <c r="G1002" s="95"/>
      <c r="H1002" s="87"/>
      <c r="I1002" s="201"/>
    </row>
    <row r="1003" spans="1:10" s="9" customFormat="1" ht="30" customHeight="1">
      <c r="A1003" s="56" t="s">
        <v>119</v>
      </c>
      <c r="B1003" s="60">
        <v>3</v>
      </c>
      <c r="C1003" s="60">
        <v>3</v>
      </c>
      <c r="D1003" s="36"/>
      <c r="E1003" s="95"/>
      <c r="F1003" s="95"/>
      <c r="G1003" s="44"/>
      <c r="H1003" s="274"/>
      <c r="I1003" s="201"/>
      <c r="J1003" s="61"/>
    </row>
    <row r="1004" spans="1:10" s="9" customFormat="1" ht="30" customHeight="1">
      <c r="A1004" s="476" t="s">
        <v>434</v>
      </c>
      <c r="B1004" s="476"/>
      <c r="C1004" s="476"/>
      <c r="D1004" s="23" t="s">
        <v>64</v>
      </c>
      <c r="E1004" s="44">
        <v>7.3</v>
      </c>
      <c r="F1004" s="44">
        <v>8.3</v>
      </c>
      <c r="G1004" s="44">
        <v>11.2</v>
      </c>
      <c r="H1004" s="43">
        <f>G1004*4+F1004*9+E1004*4</f>
        <v>148.7</v>
      </c>
      <c r="I1004" s="226" t="s">
        <v>432</v>
      </c>
      <c r="J1004" s="61"/>
    </row>
    <row r="1005" spans="1:10" s="9" customFormat="1" ht="30" customHeight="1">
      <c r="A1005" s="55" t="s">
        <v>109</v>
      </c>
      <c r="B1005" s="27">
        <v>29</v>
      </c>
      <c r="C1005" s="35">
        <v>26</v>
      </c>
      <c r="D1005" s="5"/>
      <c r="E1005" s="40"/>
      <c r="F1005" s="40"/>
      <c r="G1005" s="40"/>
      <c r="H1005" s="87"/>
      <c r="I1005" s="226"/>
      <c r="J1005" s="61"/>
    </row>
    <row r="1006" spans="1:10" s="9" customFormat="1" ht="30" customHeight="1">
      <c r="A1006" s="112" t="s">
        <v>123</v>
      </c>
      <c r="B1006" s="48">
        <f>C1006*1.04</f>
        <v>18.72</v>
      </c>
      <c r="C1006" s="35">
        <v>18</v>
      </c>
      <c r="D1006" s="5"/>
      <c r="E1006" s="40"/>
      <c r="F1006" s="40"/>
      <c r="G1006" s="40"/>
      <c r="H1006" s="87"/>
      <c r="I1006" s="226"/>
      <c r="J1006" s="61"/>
    </row>
    <row r="1007" spans="1:10" s="9" customFormat="1" ht="30" customHeight="1">
      <c r="A1007" s="112" t="s">
        <v>125</v>
      </c>
      <c r="B1007" s="48">
        <f>C1007*1.048</f>
        <v>14.672</v>
      </c>
      <c r="C1007" s="143">
        <v>14</v>
      </c>
      <c r="D1007" s="5"/>
      <c r="E1007" s="40"/>
      <c r="F1007" s="40"/>
      <c r="G1007" s="40"/>
      <c r="H1007" s="87"/>
      <c r="I1007" s="226"/>
      <c r="J1007" s="61"/>
    </row>
    <row r="1008" spans="1:10" s="9" customFormat="1" ht="30" customHeight="1">
      <c r="A1008" s="476" t="s">
        <v>433</v>
      </c>
      <c r="B1008" s="476"/>
      <c r="C1008" s="476"/>
      <c r="D1008" s="23" t="s">
        <v>64</v>
      </c>
      <c r="E1008" s="44">
        <v>6.7</v>
      </c>
      <c r="F1008" s="44">
        <v>7.6</v>
      </c>
      <c r="G1008" s="44">
        <v>11.2</v>
      </c>
      <c r="H1008" s="43">
        <f>G1008*4+F1008*9+E1008*4</f>
        <v>140</v>
      </c>
      <c r="I1008" s="226" t="s">
        <v>432</v>
      </c>
      <c r="J1008" s="61"/>
    </row>
    <row r="1009" spans="1:10" s="9" customFormat="1" ht="30" customHeight="1">
      <c r="A1009" s="86" t="s">
        <v>86</v>
      </c>
      <c r="B1009" s="27">
        <f>C1009*1.36</f>
        <v>21.76</v>
      </c>
      <c r="C1009" s="5">
        <v>16</v>
      </c>
      <c r="D1009" s="5"/>
      <c r="E1009" s="40"/>
      <c r="F1009" s="40"/>
      <c r="G1009" s="40"/>
      <c r="H1009" s="87"/>
      <c r="I1009" s="226"/>
      <c r="J1009" s="61"/>
    </row>
    <row r="1010" spans="1:10" s="9" customFormat="1" ht="30" customHeight="1">
      <c r="A1010" s="86" t="s">
        <v>87</v>
      </c>
      <c r="B1010" s="27">
        <f>C1010*1.18</f>
        <v>18.88</v>
      </c>
      <c r="C1010" s="5">
        <v>16</v>
      </c>
      <c r="D1010" s="5"/>
      <c r="E1010" s="40"/>
      <c r="F1010" s="40"/>
      <c r="G1010" s="40"/>
      <c r="H1010" s="87"/>
      <c r="I1010" s="226"/>
      <c r="J1010" s="61"/>
    </row>
    <row r="1011" spans="1:9" s="9" customFormat="1" ht="30" customHeight="1">
      <c r="A1011" s="53" t="s">
        <v>12</v>
      </c>
      <c r="B1011" s="37">
        <f>C1011*1.33</f>
        <v>99.75</v>
      </c>
      <c r="C1011" s="36">
        <v>75</v>
      </c>
      <c r="D1011" s="36"/>
      <c r="E1011" s="95"/>
      <c r="F1011" s="95"/>
      <c r="G1011" s="95"/>
      <c r="H1011" s="87"/>
      <c r="I1011" s="226"/>
    </row>
    <row r="1012" spans="1:9" s="9" customFormat="1" ht="30" customHeight="1">
      <c r="A1012" s="53" t="s">
        <v>13</v>
      </c>
      <c r="B1012" s="37">
        <f>C1012*1.43</f>
        <v>107.25</v>
      </c>
      <c r="C1012" s="36">
        <v>75</v>
      </c>
      <c r="D1012" s="36"/>
      <c r="E1012" s="95"/>
      <c r="F1012" s="95"/>
      <c r="G1012" s="201"/>
      <c r="H1012" s="223"/>
      <c r="I1012" s="226"/>
    </row>
    <row r="1013" spans="1:9" s="9" customFormat="1" ht="30" customHeight="1">
      <c r="A1013" s="53" t="s">
        <v>14</v>
      </c>
      <c r="B1013" s="37">
        <f>C1013*1.54</f>
        <v>115.5</v>
      </c>
      <c r="C1013" s="36">
        <v>75</v>
      </c>
      <c r="D1013" s="36"/>
      <c r="E1013" s="95"/>
      <c r="F1013" s="95"/>
      <c r="G1013" s="95"/>
      <c r="H1013" s="87"/>
      <c r="I1013" s="226"/>
    </row>
    <row r="1014" spans="1:9" s="9" customFormat="1" ht="30" customHeight="1">
      <c r="A1014" s="53" t="s">
        <v>15</v>
      </c>
      <c r="B1014" s="37">
        <f>C1014*1.67</f>
        <v>125.25</v>
      </c>
      <c r="C1014" s="36">
        <v>75</v>
      </c>
      <c r="D1014" s="36"/>
      <c r="E1014" s="95"/>
      <c r="F1014" s="95"/>
      <c r="G1014" s="201"/>
      <c r="H1014" s="223"/>
      <c r="I1014" s="226"/>
    </row>
    <row r="1015" spans="1:12" s="9" customFormat="1" ht="30" customHeight="1">
      <c r="A1015" s="53" t="s">
        <v>60</v>
      </c>
      <c r="B1015" s="87">
        <f>C1015*1.25</f>
        <v>25</v>
      </c>
      <c r="C1015" s="276">
        <v>20</v>
      </c>
      <c r="D1015" s="36"/>
      <c r="E1015" s="95"/>
      <c r="F1015" s="95"/>
      <c r="G1015" s="201"/>
      <c r="H1015" s="223"/>
      <c r="I1015" s="226"/>
      <c r="K1015" s="301"/>
      <c r="L1015" s="15"/>
    </row>
    <row r="1016" spans="1:12" s="9" customFormat="1" ht="30" customHeight="1">
      <c r="A1016" s="53" t="s">
        <v>16</v>
      </c>
      <c r="B1016" s="37">
        <f>C1016*1.33</f>
        <v>26.6</v>
      </c>
      <c r="C1016" s="36">
        <v>20</v>
      </c>
      <c r="D1016" s="36"/>
      <c r="E1016" s="95"/>
      <c r="F1016" s="95"/>
      <c r="G1016" s="201"/>
      <c r="H1016" s="223"/>
      <c r="I1016" s="226"/>
      <c r="K1016" s="301"/>
      <c r="L1016" s="15"/>
    </row>
    <row r="1017" spans="1:12" s="9" customFormat="1" ht="30" customHeight="1">
      <c r="A1017" s="53" t="s">
        <v>18</v>
      </c>
      <c r="B1017" s="37">
        <f>C1017*1.19</f>
        <v>23.799999999999997</v>
      </c>
      <c r="C1017" s="36">
        <v>20</v>
      </c>
      <c r="D1017" s="36"/>
      <c r="E1017" s="95"/>
      <c r="F1017" s="95"/>
      <c r="G1017" s="201"/>
      <c r="H1017" s="223"/>
      <c r="I1017" s="226"/>
      <c r="K1017" s="301"/>
      <c r="L1017" s="15"/>
    </row>
    <row r="1018" spans="1:12" s="9" customFormat="1" ht="30" customHeight="1">
      <c r="A1018" s="53" t="s">
        <v>19</v>
      </c>
      <c r="B1018" s="37">
        <v>5</v>
      </c>
      <c r="C1018" s="36">
        <v>5</v>
      </c>
      <c r="D1018" s="36"/>
      <c r="E1018" s="95"/>
      <c r="F1018" s="95"/>
      <c r="G1018" s="201"/>
      <c r="H1018" s="223"/>
      <c r="I1018" s="226"/>
      <c r="K1018" s="301"/>
      <c r="L1018" s="15"/>
    </row>
    <row r="1019" spans="1:12" ht="30" customHeight="1">
      <c r="A1019" s="53" t="s">
        <v>84</v>
      </c>
      <c r="B1019" s="36">
        <v>10</v>
      </c>
      <c r="C1019" s="36">
        <v>10</v>
      </c>
      <c r="D1019" s="36"/>
      <c r="E1019" s="41"/>
      <c r="F1019" s="41"/>
      <c r="G1019" s="236"/>
      <c r="H1019" s="341"/>
      <c r="I1019" s="232"/>
      <c r="K1019" s="301"/>
      <c r="L1019" s="70"/>
    </row>
    <row r="1020" spans="1:12" s="9" customFormat="1" ht="30" customHeight="1">
      <c r="A1020" s="51" t="s">
        <v>72</v>
      </c>
      <c r="B1020" s="40">
        <v>0.2</v>
      </c>
      <c r="C1020" s="40">
        <v>0.2</v>
      </c>
      <c r="D1020" s="5"/>
      <c r="E1020" s="95"/>
      <c r="F1020" s="95"/>
      <c r="G1020" s="95"/>
      <c r="H1020" s="87"/>
      <c r="I1020" s="226"/>
      <c r="K1020" s="301"/>
      <c r="L1020" s="15"/>
    </row>
    <row r="1021" spans="1:9" s="9" customFormat="1" ht="30" customHeight="1">
      <c r="A1021" s="496" t="s">
        <v>439</v>
      </c>
      <c r="B1021" s="496"/>
      <c r="C1021" s="496"/>
      <c r="D1021" s="274">
        <v>100</v>
      </c>
      <c r="E1021" s="44">
        <v>8.7</v>
      </c>
      <c r="F1021" s="44">
        <v>8.2</v>
      </c>
      <c r="G1021" s="44">
        <v>4.6</v>
      </c>
      <c r="H1021" s="43">
        <f>G1021*4+F1021*9+E1021*4</f>
        <v>126.99999999999999</v>
      </c>
      <c r="I1021" s="357" t="s">
        <v>440</v>
      </c>
    </row>
    <row r="1022" spans="1:9" s="9" customFormat="1" ht="30" customHeight="1">
      <c r="A1022" s="86" t="s">
        <v>91</v>
      </c>
      <c r="B1022" s="48">
        <f>C1022*1.21</f>
        <v>112.53</v>
      </c>
      <c r="C1022" s="276">
        <v>93</v>
      </c>
      <c r="D1022" s="276"/>
      <c r="E1022" s="276"/>
      <c r="F1022" s="95"/>
      <c r="G1022" s="95"/>
      <c r="H1022" s="87"/>
      <c r="I1022" s="432"/>
    </row>
    <row r="1023" spans="1:9" s="9" customFormat="1" ht="30" customHeight="1">
      <c r="A1023" s="426" t="s">
        <v>21</v>
      </c>
      <c r="B1023" s="433">
        <v>4</v>
      </c>
      <c r="C1023" s="433">
        <v>4</v>
      </c>
      <c r="D1023" s="276"/>
      <c r="E1023" s="95"/>
      <c r="F1023" s="95"/>
      <c r="G1023" s="95"/>
      <c r="H1023" s="43"/>
      <c r="I1023" s="432"/>
    </row>
    <row r="1024" spans="1:9" s="9" customFormat="1" ht="30" customHeight="1">
      <c r="A1024" s="426" t="s">
        <v>11</v>
      </c>
      <c r="B1024" s="276">
        <v>4</v>
      </c>
      <c r="C1024" s="276">
        <v>4</v>
      </c>
      <c r="D1024" s="276"/>
      <c r="E1024" s="95"/>
      <c r="F1024" s="95"/>
      <c r="G1024" s="44"/>
      <c r="H1024" s="43"/>
      <c r="I1024" s="432"/>
    </row>
    <row r="1025" spans="1:9" s="9" customFormat="1" ht="30" customHeight="1">
      <c r="A1025" s="426" t="s">
        <v>441</v>
      </c>
      <c r="B1025" s="276"/>
      <c r="C1025" s="276">
        <v>60</v>
      </c>
      <c r="D1025" s="276"/>
      <c r="E1025" s="95"/>
      <c r="F1025" s="95"/>
      <c r="G1025" s="44"/>
      <c r="H1025" s="43"/>
      <c r="I1025" s="432"/>
    </row>
    <row r="1026" spans="1:9" s="9" customFormat="1" ht="30" customHeight="1">
      <c r="A1026" s="426" t="s">
        <v>442</v>
      </c>
      <c r="B1026" s="276"/>
      <c r="C1026" s="276">
        <v>40</v>
      </c>
      <c r="D1026" s="276"/>
      <c r="E1026" s="95"/>
      <c r="F1026" s="95"/>
      <c r="G1026" s="44"/>
      <c r="H1026" s="43"/>
      <c r="I1026" s="243" t="s">
        <v>443</v>
      </c>
    </row>
    <row r="1027" spans="1:9" s="9" customFormat="1" ht="30" customHeight="1">
      <c r="A1027" s="377" t="s">
        <v>56</v>
      </c>
      <c r="B1027" s="433">
        <v>10</v>
      </c>
      <c r="C1027" s="433">
        <v>10</v>
      </c>
      <c r="D1027" s="276"/>
      <c r="E1027" s="95"/>
      <c r="F1027" s="95"/>
      <c r="G1027" s="44"/>
      <c r="H1027" s="43"/>
      <c r="I1027" s="432"/>
    </row>
    <row r="1028" spans="1:9" s="9" customFormat="1" ht="30" customHeight="1">
      <c r="A1028" s="426" t="s">
        <v>21</v>
      </c>
      <c r="B1028" s="433">
        <v>1</v>
      </c>
      <c r="C1028" s="433">
        <v>1</v>
      </c>
      <c r="D1028" s="276"/>
      <c r="E1028" s="95"/>
      <c r="F1028" s="95"/>
      <c r="G1028" s="44"/>
      <c r="H1028" s="43"/>
      <c r="I1028" s="432"/>
    </row>
    <row r="1029" spans="1:9" s="9" customFormat="1" ht="30" customHeight="1">
      <c r="A1029" s="434" t="s">
        <v>62</v>
      </c>
      <c r="B1029" s="87">
        <v>30</v>
      </c>
      <c r="C1029" s="87">
        <v>30</v>
      </c>
      <c r="D1029" s="276"/>
      <c r="E1029" s="95"/>
      <c r="F1029" s="95"/>
      <c r="G1029" s="95"/>
      <c r="H1029" s="87"/>
      <c r="I1029" s="432"/>
    </row>
    <row r="1030" spans="1:9" s="9" customFormat="1" ht="30" customHeight="1">
      <c r="A1030" s="426" t="s">
        <v>19</v>
      </c>
      <c r="B1030" s="87">
        <v>1</v>
      </c>
      <c r="C1030" s="87">
        <v>1</v>
      </c>
      <c r="D1030" s="276"/>
      <c r="E1030" s="87"/>
      <c r="F1030" s="95"/>
      <c r="G1030" s="95"/>
      <c r="H1030" s="43"/>
      <c r="I1030" s="432"/>
    </row>
    <row r="1031" spans="1:12" s="9" customFormat="1" ht="30" customHeight="1">
      <c r="A1031" s="479" t="s">
        <v>255</v>
      </c>
      <c r="B1031" s="479"/>
      <c r="C1031" s="479"/>
      <c r="D1031" s="39">
        <v>150</v>
      </c>
      <c r="E1031" s="44">
        <v>4.7</v>
      </c>
      <c r="F1031" s="44">
        <v>4.8</v>
      </c>
      <c r="G1031" s="44">
        <v>20.6</v>
      </c>
      <c r="H1031" s="43">
        <f>E1031*4+F1031*9+G1031*4</f>
        <v>144.4</v>
      </c>
      <c r="I1031" s="231" t="s">
        <v>256</v>
      </c>
      <c r="J1031" s="61"/>
      <c r="K1031" s="312"/>
      <c r="L1031" s="15"/>
    </row>
    <row r="1032" spans="1:12" s="9" customFormat="1" ht="30" customHeight="1">
      <c r="A1032" s="53" t="s">
        <v>78</v>
      </c>
      <c r="B1032" s="37">
        <v>38</v>
      </c>
      <c r="C1032" s="37">
        <v>38</v>
      </c>
      <c r="D1032" s="36"/>
      <c r="E1032" s="95"/>
      <c r="F1032" s="95"/>
      <c r="G1032" s="95"/>
      <c r="H1032" s="276"/>
      <c r="I1032" s="255"/>
      <c r="K1032" s="313"/>
      <c r="L1032" s="15"/>
    </row>
    <row r="1033" spans="1:12" s="9" customFormat="1" ht="30" customHeight="1">
      <c r="A1033" s="52" t="s">
        <v>62</v>
      </c>
      <c r="B1033" s="37">
        <v>121</v>
      </c>
      <c r="C1033" s="37">
        <v>121</v>
      </c>
      <c r="D1033" s="36"/>
      <c r="E1033" s="95"/>
      <c r="F1033" s="95"/>
      <c r="G1033" s="95"/>
      <c r="H1033" s="95"/>
      <c r="I1033" s="255"/>
      <c r="K1033" s="313"/>
      <c r="L1033" s="15"/>
    </row>
    <row r="1034" spans="1:12" s="9" customFormat="1" ht="30" customHeight="1">
      <c r="A1034" s="52" t="s">
        <v>19</v>
      </c>
      <c r="B1034" s="24">
        <v>5</v>
      </c>
      <c r="C1034" s="24">
        <v>5</v>
      </c>
      <c r="D1034" s="36"/>
      <c r="E1034" s="95"/>
      <c r="F1034" s="95"/>
      <c r="G1034" s="95"/>
      <c r="H1034" s="276"/>
      <c r="I1034" s="255"/>
      <c r="K1034" s="313"/>
      <c r="L1034" s="15"/>
    </row>
    <row r="1035" spans="1:12" ht="30" customHeight="1">
      <c r="A1035" s="332" t="s">
        <v>218</v>
      </c>
      <c r="B1035" s="23">
        <v>200</v>
      </c>
      <c r="C1035" s="23">
        <v>200</v>
      </c>
      <c r="D1035" s="23">
        <v>200</v>
      </c>
      <c r="E1035" s="109">
        <v>0.4</v>
      </c>
      <c r="F1035" s="109">
        <v>0</v>
      </c>
      <c r="G1035" s="109">
        <v>22</v>
      </c>
      <c r="H1035" s="238">
        <f>G1035*4+F1035*9+E1035*4</f>
        <v>89.6</v>
      </c>
      <c r="I1035" s="243" t="s">
        <v>219</v>
      </c>
      <c r="L1035" s="70"/>
    </row>
    <row r="1036" spans="1:12" ht="30" customHeight="1">
      <c r="A1036" s="473" t="s">
        <v>69</v>
      </c>
      <c r="B1036" s="473"/>
      <c r="C1036" s="473"/>
      <c r="D1036" s="473"/>
      <c r="E1036" s="473"/>
      <c r="F1036" s="473"/>
      <c r="G1036" s="473"/>
      <c r="H1036" s="473"/>
      <c r="L1036" s="70"/>
    </row>
    <row r="1037" spans="1:12" s="9" customFormat="1" ht="30" customHeight="1">
      <c r="A1037" s="481" t="s">
        <v>235</v>
      </c>
      <c r="B1037" s="481"/>
      <c r="C1037" s="481"/>
      <c r="D1037" s="26">
        <v>200</v>
      </c>
      <c r="E1037" s="465">
        <v>1</v>
      </c>
      <c r="F1037" s="465">
        <v>0</v>
      </c>
      <c r="G1037" s="465">
        <v>22.1</v>
      </c>
      <c r="H1037" s="43">
        <f>G1037*4+F1037*9+E1037*4</f>
        <v>92.4</v>
      </c>
      <c r="I1037" s="243" t="s">
        <v>236</v>
      </c>
      <c r="K1037" s="313"/>
      <c r="L1037" s="15"/>
    </row>
    <row r="1038" spans="1:12" s="9" customFormat="1" ht="30" customHeight="1">
      <c r="A1038" s="53" t="s">
        <v>168</v>
      </c>
      <c r="B1038" s="36">
        <v>20</v>
      </c>
      <c r="C1038" s="36">
        <v>20</v>
      </c>
      <c r="D1038" s="36"/>
      <c r="E1038" s="95"/>
      <c r="F1038" s="95"/>
      <c r="G1038" s="95"/>
      <c r="H1038" s="276"/>
      <c r="I1038" s="254"/>
      <c r="K1038" s="313"/>
      <c r="L1038" s="15"/>
    </row>
    <row r="1039" spans="1:12" s="9" customFormat="1" ht="30" customHeight="1">
      <c r="A1039" s="53" t="s">
        <v>4</v>
      </c>
      <c r="B1039" s="36">
        <v>10</v>
      </c>
      <c r="C1039" s="36">
        <v>10</v>
      </c>
      <c r="D1039" s="36"/>
      <c r="E1039" s="95"/>
      <c r="F1039" s="95"/>
      <c r="G1039" s="95"/>
      <c r="H1039" s="276"/>
      <c r="I1039" s="255"/>
      <c r="K1039" s="313"/>
      <c r="L1039" s="15"/>
    </row>
    <row r="1040" spans="1:12" ht="30" customHeight="1">
      <c r="A1040" s="330" t="s">
        <v>20</v>
      </c>
      <c r="B1040" s="25">
        <v>40</v>
      </c>
      <c r="C1040" s="25">
        <v>40</v>
      </c>
      <c r="D1040" s="39">
        <v>40</v>
      </c>
      <c r="E1040" s="342">
        <v>1.8666666666666667</v>
      </c>
      <c r="F1040" s="342">
        <v>0.4</v>
      </c>
      <c r="G1040" s="342">
        <v>17.466666666666665</v>
      </c>
      <c r="H1040" s="343">
        <v>81.06666666666666</v>
      </c>
      <c r="I1040" s="344"/>
      <c r="L1040" s="70"/>
    </row>
    <row r="1041" spans="1:12" s="9" customFormat="1" ht="30" customHeight="1">
      <c r="A1041" s="483" t="s">
        <v>74</v>
      </c>
      <c r="B1041" s="482"/>
      <c r="C1041" s="482"/>
      <c r="D1041" s="77">
        <v>40</v>
      </c>
      <c r="E1041" s="95"/>
      <c r="F1041" s="95"/>
      <c r="G1041" s="95"/>
      <c r="H1041" s="95"/>
      <c r="I1041" s="260"/>
      <c r="K1041" s="313"/>
      <c r="L1041" s="15"/>
    </row>
    <row r="1042" spans="1:12" ht="30" customHeight="1">
      <c r="A1042" s="203" t="s">
        <v>26</v>
      </c>
      <c r="B1042" s="36">
        <v>40</v>
      </c>
      <c r="C1042" s="36">
        <v>40</v>
      </c>
      <c r="D1042" s="23">
        <v>40</v>
      </c>
      <c r="E1042" s="109">
        <v>1.4</v>
      </c>
      <c r="F1042" s="109">
        <v>0.4</v>
      </c>
      <c r="G1042" s="109">
        <v>18.8</v>
      </c>
      <c r="H1042" s="238">
        <v>82</v>
      </c>
      <c r="L1042" s="70"/>
    </row>
    <row r="1043" spans="1:12" s="9" customFormat="1" ht="30" customHeight="1">
      <c r="A1043" s="472" t="s">
        <v>24</v>
      </c>
      <c r="B1043" s="472"/>
      <c r="C1043" s="472"/>
      <c r="D1043" s="472"/>
      <c r="E1043" s="99">
        <f>E980+E935</f>
        <v>39.21666666666666</v>
      </c>
      <c r="F1043" s="99">
        <f>F980+F935</f>
        <v>42.175</v>
      </c>
      <c r="G1043" s="99">
        <f>G980+G935</f>
        <v>187.61666666666667</v>
      </c>
      <c r="H1043" s="96">
        <f>H980+H935</f>
        <v>1289.2416666666666</v>
      </c>
      <c r="I1043" s="254"/>
      <c r="K1043" s="313"/>
      <c r="L1043" s="15"/>
    </row>
    <row r="1044" spans="1:11" s="70" customFormat="1" ht="30" customHeight="1">
      <c r="A1044" s="466" t="s">
        <v>189</v>
      </c>
      <c r="B1044" s="467"/>
      <c r="C1044" s="467"/>
      <c r="D1044" s="467"/>
      <c r="E1044" s="358">
        <f>(E651+E740+E853+E931+E1043)/5</f>
        <v>44.47</v>
      </c>
      <c r="F1044" s="358">
        <f>(F651+F740+F853+F931+F1043)/5</f>
        <v>45.73499999999999</v>
      </c>
      <c r="G1044" s="358">
        <f>(G651+G740+G853+G931+G1043)/5</f>
        <v>184.01333333333335</v>
      </c>
      <c r="H1044" s="358">
        <f>(H651+H740+H853+H931+H1043)/5</f>
        <v>1325.915</v>
      </c>
      <c r="I1044" s="255"/>
      <c r="J1044" s="61"/>
      <c r="K1044" s="312"/>
    </row>
    <row r="1045" spans="1:11" s="70" customFormat="1" ht="30" customHeight="1">
      <c r="A1045" s="466" t="s">
        <v>185</v>
      </c>
      <c r="B1045" s="467"/>
      <c r="C1045" s="467"/>
      <c r="D1045" s="467"/>
      <c r="E1045" s="358" t="s">
        <v>186</v>
      </c>
      <c r="F1045" s="358" t="s">
        <v>187</v>
      </c>
      <c r="G1045" s="358" t="s">
        <v>188</v>
      </c>
      <c r="H1045" s="358" t="s">
        <v>158</v>
      </c>
      <c r="I1045" s="255"/>
      <c r="J1045" s="61"/>
      <c r="K1045" s="312"/>
    </row>
    <row r="1046" spans="1:11" s="70" customFormat="1" ht="30" customHeight="1">
      <c r="A1046" s="466" t="s">
        <v>473</v>
      </c>
      <c r="B1046" s="467"/>
      <c r="C1046" s="467"/>
      <c r="D1046" s="467"/>
      <c r="E1046" s="358">
        <v>77</v>
      </c>
      <c r="F1046" s="358">
        <v>79</v>
      </c>
      <c r="G1046" s="358">
        <v>335</v>
      </c>
      <c r="H1046" s="358">
        <v>2350</v>
      </c>
      <c r="I1046" s="255"/>
      <c r="J1046" s="61"/>
      <c r="K1046" s="312"/>
    </row>
    <row r="1047" spans="1:11" s="15" customFormat="1" ht="30" customHeight="1">
      <c r="A1047" s="488" t="s">
        <v>191</v>
      </c>
      <c r="B1047" s="488"/>
      <c r="C1047" s="488"/>
      <c r="D1047" s="488"/>
      <c r="E1047" s="488"/>
      <c r="F1047" s="488"/>
      <c r="G1047" s="488"/>
      <c r="H1047" s="488"/>
      <c r="I1047" s="488"/>
      <c r="J1047" s="9"/>
      <c r="K1047" s="313"/>
    </row>
    <row r="1048" spans="2:11" s="15" customFormat="1" ht="30" customHeight="1">
      <c r="B1048" s="120"/>
      <c r="C1048" s="163"/>
      <c r="D1048" s="161"/>
      <c r="I1048" s="264"/>
      <c r="J1048" s="9"/>
      <c r="K1048" s="313"/>
    </row>
    <row r="1049" spans="2:11" s="15" customFormat="1" ht="30" customHeight="1">
      <c r="B1049" s="116"/>
      <c r="C1049" s="163"/>
      <c r="D1049" s="161"/>
      <c r="E1049" s="161"/>
      <c r="F1049" s="161"/>
      <c r="G1049" s="161"/>
      <c r="H1049" s="161"/>
      <c r="I1049" s="264"/>
      <c r="J1049" s="9"/>
      <c r="K1049" s="313"/>
    </row>
    <row r="1050" spans="2:11" s="15" customFormat="1" ht="30" customHeight="1">
      <c r="B1050" s="116"/>
      <c r="C1050" s="164"/>
      <c r="D1050" s="161"/>
      <c r="I1050" s="264"/>
      <c r="J1050" s="9"/>
      <c r="K1050" s="313"/>
    </row>
    <row r="1051" spans="2:11" s="15" customFormat="1" ht="30" customHeight="1">
      <c r="B1051" s="116"/>
      <c r="C1051" s="163"/>
      <c r="D1051" s="161"/>
      <c r="I1051" s="264"/>
      <c r="J1051" s="9"/>
      <c r="K1051" s="313"/>
    </row>
    <row r="1052" spans="2:11" s="15" customFormat="1" ht="30" customHeight="1">
      <c r="B1052" s="116"/>
      <c r="D1052" s="161"/>
      <c r="I1052" s="264"/>
      <c r="J1052" s="9"/>
      <c r="K1052" s="313"/>
    </row>
    <row r="1053" spans="1:11" s="70" customFormat="1" ht="30" customHeight="1">
      <c r="A1053" s="209"/>
      <c r="B1053" s="210"/>
      <c r="C1053" s="210"/>
      <c r="D1053" s="158"/>
      <c r="E1053" s="337"/>
      <c r="F1053" s="337"/>
      <c r="G1053" s="337"/>
      <c r="H1053" s="337"/>
      <c r="I1053" s="338"/>
      <c r="J1053" s="61"/>
      <c r="K1053" s="312"/>
    </row>
    <row r="1054" spans="1:11" s="70" customFormat="1" ht="28.5" customHeight="1">
      <c r="A1054" s="209"/>
      <c r="B1054" s="210"/>
      <c r="C1054" s="210"/>
      <c r="D1054" s="158"/>
      <c r="E1054" s="337"/>
      <c r="F1054" s="337"/>
      <c r="G1054" s="337"/>
      <c r="H1054" s="210"/>
      <c r="I1054" s="338"/>
      <c r="J1054" s="61"/>
      <c r="K1054" s="312"/>
    </row>
    <row r="1055" spans="1:11" s="70" customFormat="1" ht="28.5" customHeight="1">
      <c r="A1055" s="209"/>
      <c r="B1055" s="210"/>
      <c r="C1055" s="210"/>
      <c r="D1055" s="158"/>
      <c r="E1055" s="337"/>
      <c r="F1055" s="337"/>
      <c r="G1055" s="337"/>
      <c r="H1055" s="210"/>
      <c r="I1055" s="338"/>
      <c r="J1055" s="61"/>
      <c r="K1055" s="312"/>
    </row>
    <row r="1056" spans="1:11" s="70" customFormat="1" ht="28.5" customHeight="1">
      <c r="A1056" s="209"/>
      <c r="B1056" s="210"/>
      <c r="C1056" s="210"/>
      <c r="D1056" s="158"/>
      <c r="E1056" s="337"/>
      <c r="F1056" s="337"/>
      <c r="G1056" s="337"/>
      <c r="H1056" s="210"/>
      <c r="I1056" s="338"/>
      <c r="J1056" s="61"/>
      <c r="K1056" s="312"/>
    </row>
    <row r="1057" spans="1:11" s="70" customFormat="1" ht="28.5" customHeight="1">
      <c r="A1057" s="209"/>
      <c r="B1057" s="210"/>
      <c r="C1057" s="210"/>
      <c r="D1057" s="158"/>
      <c r="E1057" s="337"/>
      <c r="F1057" s="337"/>
      <c r="G1057" s="337"/>
      <c r="H1057" s="210"/>
      <c r="I1057" s="338"/>
      <c r="J1057" s="61"/>
      <c r="K1057" s="312"/>
    </row>
    <row r="1058" spans="1:11" s="70" customFormat="1" ht="28.5" customHeight="1">
      <c r="A1058" s="209"/>
      <c r="B1058" s="210"/>
      <c r="C1058" s="210"/>
      <c r="D1058" s="158"/>
      <c r="E1058" s="337"/>
      <c r="F1058" s="337"/>
      <c r="G1058" s="337"/>
      <c r="H1058" s="210"/>
      <c r="I1058" s="338"/>
      <c r="J1058" s="61"/>
      <c r="K1058" s="312"/>
    </row>
    <row r="1059" spans="1:11" s="70" customFormat="1" ht="28.5" customHeight="1">
      <c r="A1059" s="209"/>
      <c r="B1059" s="210"/>
      <c r="C1059" s="210"/>
      <c r="D1059" s="158"/>
      <c r="E1059" s="337"/>
      <c r="F1059" s="337"/>
      <c r="G1059" s="337"/>
      <c r="H1059" s="210"/>
      <c r="I1059" s="338"/>
      <c r="J1059" s="61"/>
      <c r="K1059" s="312"/>
    </row>
    <row r="1060" spans="1:11" s="70" customFormat="1" ht="28.5" customHeight="1">
      <c r="A1060" s="209"/>
      <c r="B1060" s="210"/>
      <c r="C1060" s="210"/>
      <c r="D1060" s="158"/>
      <c r="E1060" s="337"/>
      <c r="F1060" s="337"/>
      <c r="G1060" s="337"/>
      <c r="H1060" s="210"/>
      <c r="I1060" s="338"/>
      <c r="J1060" s="63"/>
      <c r="K1060" s="321"/>
    </row>
    <row r="1061" spans="1:11" s="70" customFormat="1" ht="28.5" customHeight="1">
      <c r="A1061" s="209"/>
      <c r="B1061" s="210"/>
      <c r="C1061" s="210"/>
      <c r="D1061" s="158"/>
      <c r="E1061" s="337"/>
      <c r="F1061" s="337"/>
      <c r="G1061" s="337"/>
      <c r="H1061" s="210"/>
      <c r="I1061" s="338"/>
      <c r="J1061" s="63"/>
      <c r="K1061" s="321"/>
    </row>
    <row r="1062" spans="1:11" s="70" customFormat="1" ht="28.5" customHeight="1">
      <c r="A1062" s="209"/>
      <c r="B1062" s="210"/>
      <c r="C1062" s="210"/>
      <c r="D1062" s="158"/>
      <c r="E1062" s="337"/>
      <c r="F1062" s="337"/>
      <c r="G1062" s="337"/>
      <c r="H1062" s="210"/>
      <c r="I1062" s="338"/>
      <c r="J1062" s="63"/>
      <c r="K1062" s="321"/>
    </row>
    <row r="1063" spans="1:11" s="70" customFormat="1" ht="28.5" customHeight="1">
      <c r="A1063" s="209"/>
      <c r="B1063" s="210"/>
      <c r="C1063" s="210"/>
      <c r="D1063" s="158"/>
      <c r="E1063" s="337"/>
      <c r="F1063" s="337"/>
      <c r="G1063" s="337"/>
      <c r="H1063" s="210"/>
      <c r="I1063" s="338"/>
      <c r="J1063" s="63"/>
      <c r="K1063" s="321"/>
    </row>
    <row r="1064" spans="1:11" s="70" customFormat="1" ht="28.5" customHeight="1">
      <c r="A1064" s="209"/>
      <c r="B1064" s="210"/>
      <c r="C1064" s="210"/>
      <c r="D1064" s="158"/>
      <c r="E1064" s="337"/>
      <c r="F1064" s="337"/>
      <c r="G1064" s="337"/>
      <c r="H1064" s="210"/>
      <c r="I1064" s="338"/>
      <c r="J1064" s="63"/>
      <c r="K1064" s="321"/>
    </row>
    <row r="1065" spans="1:11" s="70" customFormat="1" ht="28.5" customHeight="1">
      <c r="A1065" s="209"/>
      <c r="B1065" s="210"/>
      <c r="C1065" s="210"/>
      <c r="D1065" s="158"/>
      <c r="E1065" s="337"/>
      <c r="F1065" s="337"/>
      <c r="G1065" s="337"/>
      <c r="H1065" s="210"/>
      <c r="I1065" s="338"/>
      <c r="J1065" s="63"/>
      <c r="K1065" s="321"/>
    </row>
    <row r="1066" spans="1:11" s="70" customFormat="1" ht="28.5" customHeight="1">
      <c r="A1066" s="209"/>
      <c r="B1066" s="210"/>
      <c r="C1066" s="210"/>
      <c r="D1066" s="158"/>
      <c r="E1066" s="337"/>
      <c r="F1066" s="337"/>
      <c r="G1066" s="337"/>
      <c r="H1066" s="210"/>
      <c r="I1066" s="338"/>
      <c r="J1066" s="63"/>
      <c r="K1066" s="321"/>
    </row>
    <row r="1067" spans="1:11" s="70" customFormat="1" ht="28.5" customHeight="1">
      <c r="A1067" s="209"/>
      <c r="B1067" s="210"/>
      <c r="C1067" s="210"/>
      <c r="D1067" s="158"/>
      <c r="E1067" s="337"/>
      <c r="F1067" s="337"/>
      <c r="G1067" s="337"/>
      <c r="H1067" s="210"/>
      <c r="I1067" s="338"/>
      <c r="J1067" s="63"/>
      <c r="K1067" s="321"/>
    </row>
    <row r="1068" spans="1:11" s="70" customFormat="1" ht="28.5" customHeight="1">
      <c r="A1068" s="209"/>
      <c r="B1068" s="210"/>
      <c r="C1068" s="210"/>
      <c r="D1068" s="158"/>
      <c r="E1068" s="337"/>
      <c r="F1068" s="337"/>
      <c r="G1068" s="337"/>
      <c r="H1068" s="210"/>
      <c r="I1068" s="338"/>
      <c r="J1068" s="63"/>
      <c r="K1068" s="321"/>
    </row>
    <row r="1069" spans="1:11" s="70" customFormat="1" ht="28.5" customHeight="1">
      <c r="A1069" s="209"/>
      <c r="B1069" s="210"/>
      <c r="C1069" s="210"/>
      <c r="D1069" s="158"/>
      <c r="E1069" s="337"/>
      <c r="F1069" s="337"/>
      <c r="G1069" s="337"/>
      <c r="H1069" s="210"/>
      <c r="I1069" s="338"/>
      <c r="J1069" s="63"/>
      <c r="K1069" s="321"/>
    </row>
    <row r="1070" spans="1:11" s="70" customFormat="1" ht="28.5" customHeight="1">
      <c r="A1070" s="209"/>
      <c r="B1070" s="210"/>
      <c r="C1070" s="210"/>
      <c r="D1070" s="158"/>
      <c r="E1070" s="337"/>
      <c r="F1070" s="337"/>
      <c r="G1070" s="337"/>
      <c r="H1070" s="210"/>
      <c r="I1070" s="338"/>
      <c r="J1070" s="63"/>
      <c r="K1070" s="321"/>
    </row>
    <row r="1071" spans="1:11" s="70" customFormat="1" ht="28.5" customHeight="1">
      <c r="A1071" s="209"/>
      <c r="B1071" s="210"/>
      <c r="C1071" s="210"/>
      <c r="D1071" s="158"/>
      <c r="E1071" s="337"/>
      <c r="F1071" s="337"/>
      <c r="G1071" s="337"/>
      <c r="H1071" s="210"/>
      <c r="I1071" s="338"/>
      <c r="J1071" s="63"/>
      <c r="K1071" s="321"/>
    </row>
    <row r="1072" spans="1:11" s="70" customFormat="1" ht="30" customHeight="1">
      <c r="A1072" s="209"/>
      <c r="B1072" s="210"/>
      <c r="C1072" s="210"/>
      <c r="D1072" s="158"/>
      <c r="E1072" s="337"/>
      <c r="F1072" s="337"/>
      <c r="G1072" s="337"/>
      <c r="H1072" s="210"/>
      <c r="I1072" s="338"/>
      <c r="J1072" s="63"/>
      <c r="K1072" s="321"/>
    </row>
    <row r="1073" spans="1:11" s="70" customFormat="1" ht="30" customHeight="1">
      <c r="A1073" s="209"/>
      <c r="B1073" s="210"/>
      <c r="C1073" s="210"/>
      <c r="D1073" s="158"/>
      <c r="E1073" s="337"/>
      <c r="F1073" s="337"/>
      <c r="G1073" s="337"/>
      <c r="H1073" s="210"/>
      <c r="I1073" s="338"/>
      <c r="J1073" s="63"/>
      <c r="K1073" s="321"/>
    </row>
    <row r="1074" spans="1:11" s="70" customFormat="1" ht="30" customHeight="1">
      <c r="A1074" s="209"/>
      <c r="B1074" s="210"/>
      <c r="C1074" s="210"/>
      <c r="D1074" s="158"/>
      <c r="E1074" s="337"/>
      <c r="F1074" s="337"/>
      <c r="G1074" s="337"/>
      <c r="H1074" s="210"/>
      <c r="I1074" s="338"/>
      <c r="J1074" s="63"/>
      <c r="K1074" s="321"/>
    </row>
    <row r="1075" spans="1:11" s="70" customFormat="1" ht="30" customHeight="1">
      <c r="A1075" s="209"/>
      <c r="B1075" s="210"/>
      <c r="C1075" s="210"/>
      <c r="D1075" s="158"/>
      <c r="E1075" s="337"/>
      <c r="F1075" s="337"/>
      <c r="G1075" s="337"/>
      <c r="H1075" s="210"/>
      <c r="I1075" s="338"/>
      <c r="J1075" s="63"/>
      <c r="K1075" s="321"/>
    </row>
    <row r="1076" spans="1:11" s="70" customFormat="1" ht="30" customHeight="1">
      <c r="A1076" s="209"/>
      <c r="B1076" s="210"/>
      <c r="C1076" s="210"/>
      <c r="D1076" s="158"/>
      <c r="E1076" s="337"/>
      <c r="F1076" s="337"/>
      <c r="G1076" s="337"/>
      <c r="H1076" s="210"/>
      <c r="I1076" s="338"/>
      <c r="J1076" s="63"/>
      <c r="K1076" s="321"/>
    </row>
    <row r="1077" spans="1:11" s="70" customFormat="1" ht="30" customHeight="1">
      <c r="A1077" s="209"/>
      <c r="B1077" s="210"/>
      <c r="C1077" s="210"/>
      <c r="D1077" s="158"/>
      <c r="E1077" s="337"/>
      <c r="F1077" s="337"/>
      <c r="G1077" s="337"/>
      <c r="H1077" s="210"/>
      <c r="I1077" s="338"/>
      <c r="J1077" s="61"/>
      <c r="K1077" s="312"/>
    </row>
    <row r="1078" spans="1:12" s="70" customFormat="1" ht="30" customHeight="1">
      <c r="A1078" s="209"/>
      <c r="B1078" s="210"/>
      <c r="C1078" s="210"/>
      <c r="D1078" s="158"/>
      <c r="E1078" s="337"/>
      <c r="F1078" s="337"/>
      <c r="G1078" s="337"/>
      <c r="H1078" s="210"/>
      <c r="I1078" s="338"/>
      <c r="J1078" s="61"/>
      <c r="K1078" s="312"/>
      <c r="L1078" s="61"/>
    </row>
    <row r="1079" spans="1:12" s="70" customFormat="1" ht="30" customHeight="1">
      <c r="A1079" s="209"/>
      <c r="B1079" s="210"/>
      <c r="C1079" s="210"/>
      <c r="D1079" s="158"/>
      <c r="E1079" s="337"/>
      <c r="F1079" s="337"/>
      <c r="G1079" s="337"/>
      <c r="H1079" s="210"/>
      <c r="I1079" s="338"/>
      <c r="J1079" s="61"/>
      <c r="K1079" s="312"/>
      <c r="L1079" s="61"/>
    </row>
    <row r="1080" spans="1:12" s="70" customFormat="1" ht="30" customHeight="1">
      <c r="A1080" s="209"/>
      <c r="B1080" s="210"/>
      <c r="C1080" s="210"/>
      <c r="D1080" s="158"/>
      <c r="E1080" s="337"/>
      <c r="F1080" s="337"/>
      <c r="G1080" s="337"/>
      <c r="H1080" s="210"/>
      <c r="I1080" s="338"/>
      <c r="J1080" s="61"/>
      <c r="K1080" s="312"/>
      <c r="L1080" s="61"/>
    </row>
    <row r="1081" spans="1:12" s="70" customFormat="1" ht="30" customHeight="1">
      <c r="A1081" s="209"/>
      <c r="B1081" s="210"/>
      <c r="C1081" s="210"/>
      <c r="D1081" s="158"/>
      <c r="E1081" s="337"/>
      <c r="F1081" s="337"/>
      <c r="G1081" s="337"/>
      <c r="H1081" s="210"/>
      <c r="I1081" s="338"/>
      <c r="J1081" s="61"/>
      <c r="K1081" s="312"/>
      <c r="L1081" s="61"/>
    </row>
    <row r="1082" spans="1:12" s="70" customFormat="1" ht="30" customHeight="1">
      <c r="A1082" s="209"/>
      <c r="B1082" s="210"/>
      <c r="C1082" s="210"/>
      <c r="D1082" s="158"/>
      <c r="E1082" s="337"/>
      <c r="F1082" s="337"/>
      <c r="G1082" s="337"/>
      <c r="H1082" s="210"/>
      <c r="I1082" s="338"/>
      <c r="J1082" s="61"/>
      <c r="K1082" s="312"/>
      <c r="L1082" s="61"/>
    </row>
    <row r="1083" spans="1:12" s="70" customFormat="1" ht="30" customHeight="1">
      <c r="A1083" s="209"/>
      <c r="B1083" s="210"/>
      <c r="C1083" s="210"/>
      <c r="D1083" s="158"/>
      <c r="E1083" s="337"/>
      <c r="F1083" s="337"/>
      <c r="G1083" s="337"/>
      <c r="H1083" s="210"/>
      <c r="I1083" s="338"/>
      <c r="J1083" s="61"/>
      <c r="K1083" s="312"/>
      <c r="L1083" s="61"/>
    </row>
    <row r="1084" spans="1:12" s="70" customFormat="1" ht="30" customHeight="1">
      <c r="A1084" s="209"/>
      <c r="B1084" s="210"/>
      <c r="C1084" s="210"/>
      <c r="D1084" s="158"/>
      <c r="E1084" s="337"/>
      <c r="F1084" s="337"/>
      <c r="G1084" s="337"/>
      <c r="H1084" s="210"/>
      <c r="I1084" s="338"/>
      <c r="J1084" s="61"/>
      <c r="K1084" s="312"/>
      <c r="L1084" s="61"/>
    </row>
    <row r="1085" spans="1:12" s="70" customFormat="1" ht="30" customHeight="1">
      <c r="A1085" s="209"/>
      <c r="B1085" s="210"/>
      <c r="C1085" s="210"/>
      <c r="D1085" s="158"/>
      <c r="E1085" s="337"/>
      <c r="F1085" s="337"/>
      <c r="G1085" s="337"/>
      <c r="H1085" s="210"/>
      <c r="I1085" s="338"/>
      <c r="J1085" s="61"/>
      <c r="K1085" s="312"/>
      <c r="L1085" s="61"/>
    </row>
    <row r="1086" spans="1:12" s="70" customFormat="1" ht="30" customHeight="1">
      <c r="A1086" s="209"/>
      <c r="B1086" s="210"/>
      <c r="C1086" s="210"/>
      <c r="D1086" s="158"/>
      <c r="E1086" s="337"/>
      <c r="F1086" s="337"/>
      <c r="G1086" s="337"/>
      <c r="H1086" s="210"/>
      <c r="I1086" s="338"/>
      <c r="J1086" s="61"/>
      <c r="K1086" s="312"/>
      <c r="L1086" s="61"/>
    </row>
    <row r="1087" spans="1:12" s="70" customFormat="1" ht="30" customHeight="1">
      <c r="A1087" s="209"/>
      <c r="B1087" s="210"/>
      <c r="C1087" s="210"/>
      <c r="D1087" s="158"/>
      <c r="E1087" s="337"/>
      <c r="F1087" s="337"/>
      <c r="G1087" s="337"/>
      <c r="H1087" s="210"/>
      <c r="I1087" s="338"/>
      <c r="J1087" s="61"/>
      <c r="K1087" s="312"/>
      <c r="L1087" s="61"/>
    </row>
    <row r="1088" spans="1:12" s="70" customFormat="1" ht="30" customHeight="1">
      <c r="A1088" s="209"/>
      <c r="B1088" s="210"/>
      <c r="C1088" s="210"/>
      <c r="D1088" s="158"/>
      <c r="E1088" s="337"/>
      <c r="F1088" s="337"/>
      <c r="G1088" s="337"/>
      <c r="H1088" s="210"/>
      <c r="I1088" s="338"/>
      <c r="J1088" s="61"/>
      <c r="K1088" s="312"/>
      <c r="L1088" s="61"/>
    </row>
    <row r="1089" spans="1:11" s="70" customFormat="1" ht="30" customHeight="1">
      <c r="A1089" s="209"/>
      <c r="B1089" s="210"/>
      <c r="C1089" s="210"/>
      <c r="D1089" s="158"/>
      <c r="E1089" s="337"/>
      <c r="F1089" s="337"/>
      <c r="G1089" s="337"/>
      <c r="H1089" s="210"/>
      <c r="I1089" s="338"/>
      <c r="K1089" s="339"/>
    </row>
    <row r="1090" spans="1:11" s="70" customFormat="1" ht="30" customHeight="1">
      <c r="A1090" s="209"/>
      <c r="B1090" s="210"/>
      <c r="C1090" s="210"/>
      <c r="D1090" s="158"/>
      <c r="E1090" s="337"/>
      <c r="F1090" s="337"/>
      <c r="G1090" s="337"/>
      <c r="H1090" s="210"/>
      <c r="I1090" s="338"/>
      <c r="K1090" s="339"/>
    </row>
    <row r="1091" spans="1:11" s="70" customFormat="1" ht="30" customHeight="1">
      <c r="A1091" s="209"/>
      <c r="B1091" s="210"/>
      <c r="C1091" s="210"/>
      <c r="D1091" s="158"/>
      <c r="E1091" s="337"/>
      <c r="F1091" s="337"/>
      <c r="G1091" s="337"/>
      <c r="H1091" s="210"/>
      <c r="I1091" s="338"/>
      <c r="K1091" s="339"/>
    </row>
    <row r="1092" spans="1:11" s="70" customFormat="1" ht="30" customHeight="1">
      <c r="A1092" s="209"/>
      <c r="B1092" s="210"/>
      <c r="C1092" s="210"/>
      <c r="D1092" s="158"/>
      <c r="E1092" s="337"/>
      <c r="F1092" s="337"/>
      <c r="G1092" s="337"/>
      <c r="H1092" s="210"/>
      <c r="I1092" s="338"/>
      <c r="K1092" s="339"/>
    </row>
    <row r="1093" spans="1:11" s="70" customFormat="1" ht="30" customHeight="1">
      <c r="A1093" s="209"/>
      <c r="B1093" s="210"/>
      <c r="C1093" s="210"/>
      <c r="D1093" s="158"/>
      <c r="E1093" s="337"/>
      <c r="F1093" s="337"/>
      <c r="G1093" s="337"/>
      <c r="H1093" s="210"/>
      <c r="I1093" s="338"/>
      <c r="K1093" s="339"/>
    </row>
    <row r="1094" spans="1:11" s="70" customFormat="1" ht="30" customHeight="1">
      <c r="A1094" s="209"/>
      <c r="B1094" s="210"/>
      <c r="C1094" s="210"/>
      <c r="D1094" s="158"/>
      <c r="E1094" s="337"/>
      <c r="F1094" s="337"/>
      <c r="G1094" s="337"/>
      <c r="H1094" s="210"/>
      <c r="I1094" s="338"/>
      <c r="K1094" s="339"/>
    </row>
    <row r="1095" spans="1:11" s="70" customFormat="1" ht="30" customHeight="1">
      <c r="A1095" s="209"/>
      <c r="B1095" s="210"/>
      <c r="C1095" s="210"/>
      <c r="D1095" s="158"/>
      <c r="E1095" s="337"/>
      <c r="F1095" s="337"/>
      <c r="G1095" s="337"/>
      <c r="H1095" s="210"/>
      <c r="I1095" s="338"/>
      <c r="K1095" s="339"/>
    </row>
    <row r="1096" spans="1:11" s="70" customFormat="1" ht="30" customHeight="1">
      <c r="A1096" s="209"/>
      <c r="B1096" s="210"/>
      <c r="C1096" s="210"/>
      <c r="D1096" s="158"/>
      <c r="E1096" s="337"/>
      <c r="F1096" s="337"/>
      <c r="G1096" s="337"/>
      <c r="H1096" s="210"/>
      <c r="I1096" s="338"/>
      <c r="K1096" s="339"/>
    </row>
    <row r="1097" spans="1:11" s="70" customFormat="1" ht="30" customHeight="1">
      <c r="A1097" s="209"/>
      <c r="B1097" s="210"/>
      <c r="C1097" s="210"/>
      <c r="D1097" s="158"/>
      <c r="E1097" s="337"/>
      <c r="F1097" s="337"/>
      <c r="G1097" s="337"/>
      <c r="H1097" s="210"/>
      <c r="I1097" s="338"/>
      <c r="K1097" s="339"/>
    </row>
    <row r="1098" spans="1:11" s="70" customFormat="1" ht="30" customHeight="1">
      <c r="A1098" s="209"/>
      <c r="B1098" s="210"/>
      <c r="C1098" s="210"/>
      <c r="D1098" s="158"/>
      <c r="E1098" s="337"/>
      <c r="F1098" s="337"/>
      <c r="G1098" s="337"/>
      <c r="H1098" s="210"/>
      <c r="I1098" s="338"/>
      <c r="K1098" s="339"/>
    </row>
    <row r="1099" spans="1:11" s="70" customFormat="1" ht="30" customHeight="1">
      <c r="A1099" s="209"/>
      <c r="B1099" s="210"/>
      <c r="C1099" s="210"/>
      <c r="D1099" s="158"/>
      <c r="E1099" s="337"/>
      <c r="F1099" s="337"/>
      <c r="G1099" s="337"/>
      <c r="H1099" s="210"/>
      <c r="I1099" s="338"/>
      <c r="K1099" s="339"/>
    </row>
    <row r="1100" spans="1:11" s="70" customFormat="1" ht="30" customHeight="1">
      <c r="A1100" s="209"/>
      <c r="B1100" s="210"/>
      <c r="C1100" s="210"/>
      <c r="D1100" s="158"/>
      <c r="E1100" s="337"/>
      <c r="F1100" s="337"/>
      <c r="G1100" s="337"/>
      <c r="H1100" s="210"/>
      <c r="I1100" s="338"/>
      <c r="K1100" s="339"/>
    </row>
    <row r="1101" spans="1:11" s="70" customFormat="1" ht="30" customHeight="1">
      <c r="A1101" s="209"/>
      <c r="B1101" s="210"/>
      <c r="C1101" s="210"/>
      <c r="D1101" s="158"/>
      <c r="E1101" s="337"/>
      <c r="F1101" s="337"/>
      <c r="G1101" s="337"/>
      <c r="H1101" s="210"/>
      <c r="I1101" s="338"/>
      <c r="K1101" s="339"/>
    </row>
    <row r="1102" spans="1:11" s="70" customFormat="1" ht="30" customHeight="1">
      <c r="A1102" s="209"/>
      <c r="B1102" s="210"/>
      <c r="C1102" s="210"/>
      <c r="D1102" s="158"/>
      <c r="E1102" s="337"/>
      <c r="F1102" s="337"/>
      <c r="G1102" s="337"/>
      <c r="H1102" s="210"/>
      <c r="I1102" s="338"/>
      <c r="K1102" s="339"/>
    </row>
    <row r="1103" spans="1:11" s="70" customFormat="1" ht="30" customHeight="1">
      <c r="A1103" s="209"/>
      <c r="B1103" s="210"/>
      <c r="C1103" s="210"/>
      <c r="D1103" s="158"/>
      <c r="E1103" s="337"/>
      <c r="F1103" s="337"/>
      <c r="G1103" s="337"/>
      <c r="H1103" s="210"/>
      <c r="I1103" s="338"/>
      <c r="K1103" s="339"/>
    </row>
    <row r="1104" spans="1:11" s="70" customFormat="1" ht="30" customHeight="1">
      <c r="A1104" s="209"/>
      <c r="B1104" s="210"/>
      <c r="C1104" s="210"/>
      <c r="D1104" s="158"/>
      <c r="E1104" s="337"/>
      <c r="F1104" s="337"/>
      <c r="G1104" s="337"/>
      <c r="H1104" s="210"/>
      <c r="I1104" s="338"/>
      <c r="K1104" s="339"/>
    </row>
    <row r="1105" spans="1:11" s="70" customFormat="1" ht="30" customHeight="1">
      <c r="A1105" s="209"/>
      <c r="B1105" s="210"/>
      <c r="C1105" s="210"/>
      <c r="D1105" s="158"/>
      <c r="E1105" s="337"/>
      <c r="F1105" s="337"/>
      <c r="G1105" s="337"/>
      <c r="H1105" s="210"/>
      <c r="I1105" s="338"/>
      <c r="K1105" s="339"/>
    </row>
    <row r="1106" spans="1:11" s="70" customFormat="1" ht="30" customHeight="1">
      <c r="A1106" s="209"/>
      <c r="B1106" s="210"/>
      <c r="C1106" s="210"/>
      <c r="D1106" s="158"/>
      <c r="E1106" s="337"/>
      <c r="F1106" s="337"/>
      <c r="G1106" s="337"/>
      <c r="H1106" s="210"/>
      <c r="I1106" s="338"/>
      <c r="K1106" s="339"/>
    </row>
    <row r="1107" spans="1:11" s="70" customFormat="1" ht="30" customHeight="1">
      <c r="A1107" s="209"/>
      <c r="B1107" s="210"/>
      <c r="C1107" s="210"/>
      <c r="D1107" s="158"/>
      <c r="E1107" s="337"/>
      <c r="F1107" s="337"/>
      <c r="G1107" s="337"/>
      <c r="H1107" s="210"/>
      <c r="I1107" s="338"/>
      <c r="K1107" s="339"/>
    </row>
    <row r="1108" spans="1:11" s="70" customFormat="1" ht="30" customHeight="1">
      <c r="A1108" s="209"/>
      <c r="B1108" s="210"/>
      <c r="C1108" s="210"/>
      <c r="D1108" s="158"/>
      <c r="E1108" s="337"/>
      <c r="F1108" s="337"/>
      <c r="G1108" s="337"/>
      <c r="H1108" s="210"/>
      <c r="I1108" s="338"/>
      <c r="K1108" s="339"/>
    </row>
    <row r="1109" spans="1:11" s="70" customFormat="1" ht="30" customHeight="1">
      <c r="A1109" s="209"/>
      <c r="B1109" s="210"/>
      <c r="C1109" s="210"/>
      <c r="D1109" s="158"/>
      <c r="E1109" s="337"/>
      <c r="F1109" s="337"/>
      <c r="G1109" s="337"/>
      <c r="H1109" s="210"/>
      <c r="I1109" s="338"/>
      <c r="K1109" s="339"/>
    </row>
    <row r="1110" spans="1:11" s="70" customFormat="1" ht="30" customHeight="1">
      <c r="A1110" s="209"/>
      <c r="B1110" s="210"/>
      <c r="C1110" s="210"/>
      <c r="D1110" s="158"/>
      <c r="E1110" s="337"/>
      <c r="F1110" s="337"/>
      <c r="G1110" s="337"/>
      <c r="H1110" s="210"/>
      <c r="I1110" s="338"/>
      <c r="K1110" s="339"/>
    </row>
    <row r="1111" spans="1:11" s="70" customFormat="1" ht="30" customHeight="1">
      <c r="A1111" s="209"/>
      <c r="B1111" s="210"/>
      <c r="C1111" s="210"/>
      <c r="D1111" s="158"/>
      <c r="E1111" s="337"/>
      <c r="F1111" s="337"/>
      <c r="G1111" s="337"/>
      <c r="H1111" s="210"/>
      <c r="I1111" s="338"/>
      <c r="K1111" s="339"/>
    </row>
    <row r="1112" spans="1:11" s="70" customFormat="1" ht="30" customHeight="1">
      <c r="A1112" s="209"/>
      <c r="B1112" s="210"/>
      <c r="C1112" s="210"/>
      <c r="D1112" s="158"/>
      <c r="E1112" s="337"/>
      <c r="F1112" s="337"/>
      <c r="G1112" s="337"/>
      <c r="H1112" s="210"/>
      <c r="I1112" s="338"/>
      <c r="K1112" s="339"/>
    </row>
    <row r="1113" spans="1:11" s="70" customFormat="1" ht="30" customHeight="1">
      <c r="A1113" s="209"/>
      <c r="B1113" s="210"/>
      <c r="C1113" s="210"/>
      <c r="D1113" s="158"/>
      <c r="E1113" s="337"/>
      <c r="F1113" s="337"/>
      <c r="G1113" s="337"/>
      <c r="H1113" s="210"/>
      <c r="I1113" s="338"/>
      <c r="K1113" s="339"/>
    </row>
    <row r="1114" spans="1:11" s="70" customFormat="1" ht="30" customHeight="1">
      <c r="A1114" s="209"/>
      <c r="B1114" s="210"/>
      <c r="C1114" s="210"/>
      <c r="D1114" s="158"/>
      <c r="E1114" s="337"/>
      <c r="F1114" s="337"/>
      <c r="G1114" s="337"/>
      <c r="H1114" s="210"/>
      <c r="I1114" s="338"/>
      <c r="K1114" s="339"/>
    </row>
    <row r="1115" spans="1:11" s="70" customFormat="1" ht="30" customHeight="1">
      <c r="A1115" s="209"/>
      <c r="B1115" s="210"/>
      <c r="C1115" s="210"/>
      <c r="D1115" s="158"/>
      <c r="E1115" s="337"/>
      <c r="F1115" s="337"/>
      <c r="G1115" s="337"/>
      <c r="H1115" s="210"/>
      <c r="I1115" s="338"/>
      <c r="K1115" s="339"/>
    </row>
    <row r="1116" spans="1:11" s="70" customFormat="1" ht="30" customHeight="1">
      <c r="A1116" s="209"/>
      <c r="B1116" s="210"/>
      <c r="C1116" s="210"/>
      <c r="D1116" s="158"/>
      <c r="E1116" s="337"/>
      <c r="F1116" s="337"/>
      <c r="G1116" s="337"/>
      <c r="H1116" s="210"/>
      <c r="I1116" s="338"/>
      <c r="K1116" s="339"/>
    </row>
    <row r="1117" spans="1:11" s="70" customFormat="1" ht="30" customHeight="1">
      <c r="A1117" s="209"/>
      <c r="B1117" s="210"/>
      <c r="C1117" s="210"/>
      <c r="D1117" s="158"/>
      <c r="E1117" s="337"/>
      <c r="F1117" s="337"/>
      <c r="G1117" s="337"/>
      <c r="H1117" s="210"/>
      <c r="I1117" s="338"/>
      <c r="K1117" s="339"/>
    </row>
    <row r="1118" spans="1:11" s="70" customFormat="1" ht="30" customHeight="1">
      <c r="A1118" s="209"/>
      <c r="B1118" s="210"/>
      <c r="C1118" s="210"/>
      <c r="D1118" s="158"/>
      <c r="E1118" s="337"/>
      <c r="F1118" s="337"/>
      <c r="G1118" s="337"/>
      <c r="H1118" s="210"/>
      <c r="I1118" s="338"/>
      <c r="K1118" s="339"/>
    </row>
    <row r="1119" spans="1:11" s="70" customFormat="1" ht="30" customHeight="1">
      <c r="A1119" s="209"/>
      <c r="B1119" s="210"/>
      <c r="C1119" s="210"/>
      <c r="D1119" s="158"/>
      <c r="E1119" s="337"/>
      <c r="F1119" s="337"/>
      <c r="G1119" s="337"/>
      <c r="H1119" s="210"/>
      <c r="I1119" s="338"/>
      <c r="K1119" s="339"/>
    </row>
    <row r="1120" spans="1:11" s="70" customFormat="1" ht="30" customHeight="1">
      <c r="A1120" s="209"/>
      <c r="B1120" s="210"/>
      <c r="C1120" s="210"/>
      <c r="D1120" s="158"/>
      <c r="E1120" s="337"/>
      <c r="F1120" s="337"/>
      <c r="G1120" s="337"/>
      <c r="H1120" s="210"/>
      <c r="I1120" s="338"/>
      <c r="K1120" s="339"/>
    </row>
    <row r="1121" spans="1:11" s="70" customFormat="1" ht="30" customHeight="1">
      <c r="A1121" s="209"/>
      <c r="B1121" s="210"/>
      <c r="C1121" s="210"/>
      <c r="D1121" s="158"/>
      <c r="E1121" s="337"/>
      <c r="F1121" s="337"/>
      <c r="G1121" s="337"/>
      <c r="H1121" s="210"/>
      <c r="I1121" s="338"/>
      <c r="K1121" s="339"/>
    </row>
    <row r="1122" spans="1:11" s="70" customFormat="1" ht="30" customHeight="1">
      <c r="A1122" s="209"/>
      <c r="B1122" s="210"/>
      <c r="C1122" s="210"/>
      <c r="D1122" s="158"/>
      <c r="E1122" s="337"/>
      <c r="F1122" s="337"/>
      <c r="G1122" s="337"/>
      <c r="H1122" s="210"/>
      <c r="I1122" s="338"/>
      <c r="K1122" s="339"/>
    </row>
    <row r="1123" spans="1:11" s="70" customFormat="1" ht="30" customHeight="1">
      <c r="A1123" s="209"/>
      <c r="B1123" s="210"/>
      <c r="C1123" s="210"/>
      <c r="D1123" s="158"/>
      <c r="E1123" s="337"/>
      <c r="F1123" s="337"/>
      <c r="G1123" s="337"/>
      <c r="H1123" s="210"/>
      <c r="I1123" s="338"/>
      <c r="K1123" s="339"/>
    </row>
    <row r="1124" spans="1:11" s="70" customFormat="1" ht="30" customHeight="1">
      <c r="A1124" s="209"/>
      <c r="B1124" s="210"/>
      <c r="C1124" s="210"/>
      <c r="D1124" s="158"/>
      <c r="E1124" s="337"/>
      <c r="F1124" s="337"/>
      <c r="G1124" s="337"/>
      <c r="H1124" s="210"/>
      <c r="I1124" s="338"/>
      <c r="K1124" s="339"/>
    </row>
    <row r="1125" spans="1:11" s="70" customFormat="1" ht="30" customHeight="1">
      <c r="A1125" s="209"/>
      <c r="B1125" s="210"/>
      <c r="C1125" s="210"/>
      <c r="D1125" s="158"/>
      <c r="E1125" s="337"/>
      <c r="F1125" s="337"/>
      <c r="G1125" s="337"/>
      <c r="H1125" s="210"/>
      <c r="I1125" s="338"/>
      <c r="K1125" s="339"/>
    </row>
    <row r="1126" spans="1:11" s="70" customFormat="1" ht="30" customHeight="1">
      <c r="A1126" s="209"/>
      <c r="B1126" s="210"/>
      <c r="C1126" s="210"/>
      <c r="D1126" s="158"/>
      <c r="E1126" s="337"/>
      <c r="F1126" s="337"/>
      <c r="G1126" s="337"/>
      <c r="H1126" s="210"/>
      <c r="I1126" s="338"/>
      <c r="K1126" s="339"/>
    </row>
    <row r="1127" spans="1:11" s="70" customFormat="1" ht="30" customHeight="1">
      <c r="A1127" s="209"/>
      <c r="B1127" s="210"/>
      <c r="C1127" s="210"/>
      <c r="D1127" s="158"/>
      <c r="E1127" s="337"/>
      <c r="F1127" s="337"/>
      <c r="G1127" s="337"/>
      <c r="H1127" s="210"/>
      <c r="I1127" s="338"/>
      <c r="K1127" s="339"/>
    </row>
    <row r="1128" spans="1:11" s="70" customFormat="1" ht="30" customHeight="1">
      <c r="A1128" s="209"/>
      <c r="B1128" s="210"/>
      <c r="C1128" s="210"/>
      <c r="D1128" s="158"/>
      <c r="E1128" s="337"/>
      <c r="F1128" s="337"/>
      <c r="G1128" s="337"/>
      <c r="H1128" s="210"/>
      <c r="I1128" s="338"/>
      <c r="K1128" s="339"/>
    </row>
    <row r="1129" spans="1:11" s="70" customFormat="1" ht="30" customHeight="1">
      <c r="A1129" s="209"/>
      <c r="B1129" s="210"/>
      <c r="C1129" s="210"/>
      <c r="D1129" s="158"/>
      <c r="E1129" s="337"/>
      <c r="F1129" s="337"/>
      <c r="G1129" s="337"/>
      <c r="H1129" s="210"/>
      <c r="I1129" s="338"/>
      <c r="K1129" s="339"/>
    </row>
    <row r="1130" spans="1:11" s="70" customFormat="1" ht="30" customHeight="1">
      <c r="A1130" s="209"/>
      <c r="B1130" s="210"/>
      <c r="C1130" s="210"/>
      <c r="D1130" s="158"/>
      <c r="E1130" s="337"/>
      <c r="F1130" s="337"/>
      <c r="G1130" s="337"/>
      <c r="H1130" s="210"/>
      <c r="I1130" s="338"/>
      <c r="K1130" s="339"/>
    </row>
    <row r="1131" spans="1:11" s="70" customFormat="1" ht="30" customHeight="1">
      <c r="A1131" s="209"/>
      <c r="B1131" s="210"/>
      <c r="C1131" s="210"/>
      <c r="D1131" s="158"/>
      <c r="E1131" s="337"/>
      <c r="F1131" s="337"/>
      <c r="G1131" s="337"/>
      <c r="H1131" s="210"/>
      <c r="I1131" s="338"/>
      <c r="K1131" s="339"/>
    </row>
    <row r="1132" spans="1:11" s="70" customFormat="1" ht="30" customHeight="1">
      <c r="A1132" s="209"/>
      <c r="B1132" s="210"/>
      <c r="C1132" s="210"/>
      <c r="D1132" s="158"/>
      <c r="E1132" s="337"/>
      <c r="F1132" s="337"/>
      <c r="G1132" s="337"/>
      <c r="H1132" s="210"/>
      <c r="I1132" s="338"/>
      <c r="K1132" s="339"/>
    </row>
    <row r="1133" spans="1:11" s="70" customFormat="1" ht="30" customHeight="1">
      <c r="A1133" s="209"/>
      <c r="B1133" s="210"/>
      <c r="C1133" s="210"/>
      <c r="D1133" s="158"/>
      <c r="E1133" s="337"/>
      <c r="F1133" s="337"/>
      <c r="G1133" s="337"/>
      <c r="H1133" s="210"/>
      <c r="I1133" s="338"/>
      <c r="K1133" s="339"/>
    </row>
    <row r="1134" spans="1:11" s="70" customFormat="1" ht="30" customHeight="1">
      <c r="A1134" s="209"/>
      <c r="B1134" s="210"/>
      <c r="C1134" s="210"/>
      <c r="D1134" s="158"/>
      <c r="E1134" s="337"/>
      <c r="F1134" s="337"/>
      <c r="G1134" s="337"/>
      <c r="H1134" s="210"/>
      <c r="I1134" s="338"/>
      <c r="K1134" s="339"/>
    </row>
    <row r="1135" spans="1:11" s="70" customFormat="1" ht="30" customHeight="1">
      <c r="A1135" s="209"/>
      <c r="B1135" s="210"/>
      <c r="C1135" s="210"/>
      <c r="D1135" s="158"/>
      <c r="E1135" s="337"/>
      <c r="F1135" s="337"/>
      <c r="G1135" s="337"/>
      <c r="H1135" s="210"/>
      <c r="I1135" s="338"/>
      <c r="K1135" s="339"/>
    </row>
    <row r="1136" spans="1:11" s="70" customFormat="1" ht="30" customHeight="1">
      <c r="A1136" s="209"/>
      <c r="B1136" s="210"/>
      <c r="C1136" s="210"/>
      <c r="D1136" s="158"/>
      <c r="E1136" s="337"/>
      <c r="F1136" s="337"/>
      <c r="G1136" s="337"/>
      <c r="H1136" s="210"/>
      <c r="I1136" s="338"/>
      <c r="K1136" s="339"/>
    </row>
    <row r="1137" spans="1:11" s="70" customFormat="1" ht="30" customHeight="1">
      <c r="A1137" s="209"/>
      <c r="B1137" s="210"/>
      <c r="C1137" s="210"/>
      <c r="D1137" s="158"/>
      <c r="E1137" s="337"/>
      <c r="F1137" s="337"/>
      <c r="G1137" s="337"/>
      <c r="H1137" s="210"/>
      <c r="I1137" s="338"/>
      <c r="K1137" s="339"/>
    </row>
    <row r="1138" spans="1:11" s="70" customFormat="1" ht="30" customHeight="1">
      <c r="A1138" s="209"/>
      <c r="B1138" s="210"/>
      <c r="C1138" s="210"/>
      <c r="D1138" s="158"/>
      <c r="E1138" s="337"/>
      <c r="F1138" s="337"/>
      <c r="G1138" s="337"/>
      <c r="H1138" s="210"/>
      <c r="I1138" s="338"/>
      <c r="K1138" s="339"/>
    </row>
    <row r="1139" spans="1:11" s="70" customFormat="1" ht="30" customHeight="1">
      <c r="A1139" s="209"/>
      <c r="B1139" s="210"/>
      <c r="C1139" s="210"/>
      <c r="D1139" s="158"/>
      <c r="E1139" s="337"/>
      <c r="F1139" s="337"/>
      <c r="G1139" s="337"/>
      <c r="H1139" s="210"/>
      <c r="I1139" s="338"/>
      <c r="K1139" s="339"/>
    </row>
    <row r="1140" spans="1:11" s="70" customFormat="1" ht="30" customHeight="1">
      <c r="A1140" s="209"/>
      <c r="B1140" s="210"/>
      <c r="C1140" s="210"/>
      <c r="D1140" s="158"/>
      <c r="E1140" s="337"/>
      <c r="F1140" s="337"/>
      <c r="G1140" s="337"/>
      <c r="H1140" s="210"/>
      <c r="I1140" s="338"/>
      <c r="K1140" s="339"/>
    </row>
    <row r="1141" spans="1:11" s="70" customFormat="1" ht="30" customHeight="1">
      <c r="A1141" s="209"/>
      <c r="B1141" s="210"/>
      <c r="C1141" s="210"/>
      <c r="D1141" s="158"/>
      <c r="E1141" s="337"/>
      <c r="F1141" s="337"/>
      <c r="G1141" s="337"/>
      <c r="H1141" s="210"/>
      <c r="I1141" s="338"/>
      <c r="K1141" s="339"/>
    </row>
    <row r="1142" spans="1:11" s="70" customFormat="1" ht="30" customHeight="1">
      <c r="A1142" s="209"/>
      <c r="B1142" s="210"/>
      <c r="C1142" s="210"/>
      <c r="D1142" s="158"/>
      <c r="E1142" s="337"/>
      <c r="F1142" s="337"/>
      <c r="G1142" s="337"/>
      <c r="H1142" s="210"/>
      <c r="I1142" s="338"/>
      <c r="K1142" s="339"/>
    </row>
    <row r="1143" spans="1:11" s="70" customFormat="1" ht="30" customHeight="1">
      <c r="A1143" s="209"/>
      <c r="B1143" s="210"/>
      <c r="C1143" s="210"/>
      <c r="D1143" s="158"/>
      <c r="E1143" s="337"/>
      <c r="F1143" s="337"/>
      <c r="G1143" s="337"/>
      <c r="H1143" s="210"/>
      <c r="I1143" s="338"/>
      <c r="K1143" s="339"/>
    </row>
    <row r="1144" spans="1:11" s="70" customFormat="1" ht="30" customHeight="1">
      <c r="A1144" s="209"/>
      <c r="B1144" s="210"/>
      <c r="C1144" s="210"/>
      <c r="D1144" s="158"/>
      <c r="E1144" s="337"/>
      <c r="F1144" s="337"/>
      <c r="G1144" s="337"/>
      <c r="H1144" s="210"/>
      <c r="I1144" s="338"/>
      <c r="K1144" s="339"/>
    </row>
    <row r="1145" spans="1:11" s="70" customFormat="1" ht="30" customHeight="1">
      <c r="A1145" s="209"/>
      <c r="B1145" s="210"/>
      <c r="C1145" s="210"/>
      <c r="D1145" s="158"/>
      <c r="E1145" s="337"/>
      <c r="F1145" s="337"/>
      <c r="G1145" s="337"/>
      <c r="H1145" s="210"/>
      <c r="I1145" s="338"/>
      <c r="K1145" s="339"/>
    </row>
    <row r="1146" spans="1:11" s="70" customFormat="1" ht="30" customHeight="1">
      <c r="A1146" s="209"/>
      <c r="B1146" s="210"/>
      <c r="C1146" s="210"/>
      <c r="D1146" s="158"/>
      <c r="E1146" s="337"/>
      <c r="F1146" s="337"/>
      <c r="G1146" s="337"/>
      <c r="H1146" s="210"/>
      <c r="I1146" s="338"/>
      <c r="K1146" s="339"/>
    </row>
    <row r="1147" spans="1:11" s="70" customFormat="1" ht="30" customHeight="1">
      <c r="A1147" s="209"/>
      <c r="B1147" s="210"/>
      <c r="C1147" s="210"/>
      <c r="D1147" s="158"/>
      <c r="E1147" s="337"/>
      <c r="F1147" s="337"/>
      <c r="G1147" s="337"/>
      <c r="H1147" s="210"/>
      <c r="I1147" s="338"/>
      <c r="K1147" s="339"/>
    </row>
    <row r="1148" spans="1:11" s="70" customFormat="1" ht="30" customHeight="1">
      <c r="A1148" s="209"/>
      <c r="B1148" s="210"/>
      <c r="C1148" s="210"/>
      <c r="D1148" s="158"/>
      <c r="E1148" s="337"/>
      <c r="F1148" s="337"/>
      <c r="G1148" s="337"/>
      <c r="H1148" s="210"/>
      <c r="I1148" s="338"/>
      <c r="K1148" s="339"/>
    </row>
    <row r="1149" spans="1:11" s="70" customFormat="1" ht="30" customHeight="1">
      <c r="A1149" s="209"/>
      <c r="B1149" s="210"/>
      <c r="C1149" s="210"/>
      <c r="D1149" s="158"/>
      <c r="E1149" s="337"/>
      <c r="F1149" s="337"/>
      <c r="G1149" s="337"/>
      <c r="H1149" s="210"/>
      <c r="I1149" s="338"/>
      <c r="K1149" s="339"/>
    </row>
    <row r="1150" spans="1:11" s="70" customFormat="1" ht="30" customHeight="1">
      <c r="A1150" s="209"/>
      <c r="B1150" s="210"/>
      <c r="C1150" s="210"/>
      <c r="D1150" s="158"/>
      <c r="E1150" s="337"/>
      <c r="F1150" s="337"/>
      <c r="G1150" s="337"/>
      <c r="H1150" s="210"/>
      <c r="I1150" s="338"/>
      <c r="K1150" s="339"/>
    </row>
    <row r="1151" spans="1:11" s="70" customFormat="1" ht="30" customHeight="1">
      <c r="A1151" s="209"/>
      <c r="B1151" s="210"/>
      <c r="C1151" s="210"/>
      <c r="D1151" s="158"/>
      <c r="E1151" s="337"/>
      <c r="F1151" s="337"/>
      <c r="G1151" s="337"/>
      <c r="H1151" s="210"/>
      <c r="I1151" s="338"/>
      <c r="K1151" s="339"/>
    </row>
    <row r="1152" spans="1:11" s="70" customFormat="1" ht="30" customHeight="1">
      <c r="A1152" s="209"/>
      <c r="B1152" s="210"/>
      <c r="C1152" s="210"/>
      <c r="D1152" s="158"/>
      <c r="E1152" s="337"/>
      <c r="F1152" s="337"/>
      <c r="G1152" s="337"/>
      <c r="H1152" s="210"/>
      <c r="I1152" s="338"/>
      <c r="K1152" s="339"/>
    </row>
    <row r="1153" spans="1:11" s="70" customFormat="1" ht="30" customHeight="1">
      <c r="A1153" s="209"/>
      <c r="B1153" s="210"/>
      <c r="C1153" s="210"/>
      <c r="D1153" s="158"/>
      <c r="E1153" s="337"/>
      <c r="F1153" s="337"/>
      <c r="G1153" s="337"/>
      <c r="H1153" s="210"/>
      <c r="I1153" s="338"/>
      <c r="K1153" s="339"/>
    </row>
    <row r="1154" spans="1:11" s="70" customFormat="1" ht="30" customHeight="1">
      <c r="A1154" s="209"/>
      <c r="B1154" s="210"/>
      <c r="C1154" s="210"/>
      <c r="D1154" s="158"/>
      <c r="E1154" s="337"/>
      <c r="F1154" s="337"/>
      <c r="G1154" s="337"/>
      <c r="H1154" s="210"/>
      <c r="I1154" s="338"/>
      <c r="K1154" s="339"/>
    </row>
    <row r="1155" spans="1:11" s="70" customFormat="1" ht="30" customHeight="1">
      <c r="A1155" s="209"/>
      <c r="B1155" s="210"/>
      <c r="C1155" s="210"/>
      <c r="D1155" s="158"/>
      <c r="E1155" s="337"/>
      <c r="F1155" s="337"/>
      <c r="G1155" s="337"/>
      <c r="H1155" s="210"/>
      <c r="I1155" s="338"/>
      <c r="K1155" s="339"/>
    </row>
    <row r="1156" spans="1:11" s="70" customFormat="1" ht="30" customHeight="1">
      <c r="A1156" s="209"/>
      <c r="B1156" s="210"/>
      <c r="C1156" s="210"/>
      <c r="D1156" s="158"/>
      <c r="E1156" s="337"/>
      <c r="F1156" s="337"/>
      <c r="G1156" s="337"/>
      <c r="H1156" s="210"/>
      <c r="I1156" s="338"/>
      <c r="K1156" s="339"/>
    </row>
    <row r="1157" spans="1:11" s="70" customFormat="1" ht="30" customHeight="1">
      <c r="A1157" s="209"/>
      <c r="B1157" s="210"/>
      <c r="C1157" s="210"/>
      <c r="D1157" s="158"/>
      <c r="E1157" s="337"/>
      <c r="F1157" s="337"/>
      <c r="G1157" s="337"/>
      <c r="H1157" s="210"/>
      <c r="I1157" s="338"/>
      <c r="K1157" s="339"/>
    </row>
    <row r="1158" spans="1:11" s="70" customFormat="1" ht="30" customHeight="1">
      <c r="A1158" s="209"/>
      <c r="B1158" s="210"/>
      <c r="C1158" s="210"/>
      <c r="D1158" s="158"/>
      <c r="E1158" s="337"/>
      <c r="F1158" s="337"/>
      <c r="G1158" s="337"/>
      <c r="H1158" s="210"/>
      <c r="I1158" s="338"/>
      <c r="K1158" s="339"/>
    </row>
    <row r="1159" spans="1:11" s="70" customFormat="1" ht="30" customHeight="1">
      <c r="A1159" s="209"/>
      <c r="B1159" s="210"/>
      <c r="C1159" s="210"/>
      <c r="D1159" s="158"/>
      <c r="E1159" s="337"/>
      <c r="F1159" s="337"/>
      <c r="G1159" s="337"/>
      <c r="H1159" s="210"/>
      <c r="I1159" s="338"/>
      <c r="K1159" s="339"/>
    </row>
    <row r="1160" spans="1:11" s="70" customFormat="1" ht="30" customHeight="1">
      <c r="A1160" s="209"/>
      <c r="B1160" s="210"/>
      <c r="C1160" s="210"/>
      <c r="D1160" s="158"/>
      <c r="E1160" s="337"/>
      <c r="F1160" s="337"/>
      <c r="G1160" s="337"/>
      <c r="H1160" s="210"/>
      <c r="I1160" s="338"/>
      <c r="K1160" s="339"/>
    </row>
    <row r="1161" spans="1:11" s="70" customFormat="1" ht="30" customHeight="1">
      <c r="A1161" s="209"/>
      <c r="B1161" s="210"/>
      <c r="C1161" s="210"/>
      <c r="D1161" s="158"/>
      <c r="E1161" s="337"/>
      <c r="F1161" s="337"/>
      <c r="G1161" s="337"/>
      <c r="H1161" s="210"/>
      <c r="I1161" s="338"/>
      <c r="K1161" s="339"/>
    </row>
    <row r="1162" spans="1:11" s="70" customFormat="1" ht="30" customHeight="1">
      <c r="A1162" s="209"/>
      <c r="B1162" s="210"/>
      <c r="C1162" s="210"/>
      <c r="D1162" s="158"/>
      <c r="E1162" s="337"/>
      <c r="F1162" s="337"/>
      <c r="G1162" s="337"/>
      <c r="H1162" s="210"/>
      <c r="I1162" s="338"/>
      <c r="K1162" s="339"/>
    </row>
    <row r="1163" spans="1:11" s="70" customFormat="1" ht="30" customHeight="1">
      <c r="A1163" s="209"/>
      <c r="B1163" s="210"/>
      <c r="C1163" s="210"/>
      <c r="D1163" s="158"/>
      <c r="E1163" s="337"/>
      <c r="F1163" s="337"/>
      <c r="G1163" s="337"/>
      <c r="H1163" s="210"/>
      <c r="I1163" s="338"/>
      <c r="K1163" s="339"/>
    </row>
    <row r="1164" spans="1:11" s="70" customFormat="1" ht="30" customHeight="1">
      <c r="A1164" s="209"/>
      <c r="B1164" s="210"/>
      <c r="C1164" s="210"/>
      <c r="D1164" s="158"/>
      <c r="E1164" s="337"/>
      <c r="F1164" s="337"/>
      <c r="G1164" s="337"/>
      <c r="H1164" s="210"/>
      <c r="I1164" s="338"/>
      <c r="K1164" s="339"/>
    </row>
    <row r="1165" spans="1:11" s="70" customFormat="1" ht="30" customHeight="1">
      <c r="A1165" s="209"/>
      <c r="B1165" s="210"/>
      <c r="C1165" s="210"/>
      <c r="D1165" s="158"/>
      <c r="E1165" s="337"/>
      <c r="F1165" s="337"/>
      <c r="G1165" s="337"/>
      <c r="H1165" s="210"/>
      <c r="I1165" s="338"/>
      <c r="K1165" s="339"/>
    </row>
    <row r="1166" spans="1:11" s="70" customFormat="1" ht="30" customHeight="1">
      <c r="A1166" s="209"/>
      <c r="B1166" s="210"/>
      <c r="C1166" s="210"/>
      <c r="D1166" s="158"/>
      <c r="E1166" s="337"/>
      <c r="F1166" s="337"/>
      <c r="G1166" s="337"/>
      <c r="H1166" s="210"/>
      <c r="I1166" s="338"/>
      <c r="K1166" s="339"/>
    </row>
    <row r="1167" spans="1:11" s="70" customFormat="1" ht="30" customHeight="1">
      <c r="A1167" s="209"/>
      <c r="B1167" s="210"/>
      <c r="C1167" s="210"/>
      <c r="D1167" s="158"/>
      <c r="E1167" s="337"/>
      <c r="F1167" s="337"/>
      <c r="G1167" s="337"/>
      <c r="H1167" s="210"/>
      <c r="I1167" s="338"/>
      <c r="K1167" s="339"/>
    </row>
    <row r="1168" spans="1:11" s="70" customFormat="1" ht="30" customHeight="1">
      <c r="A1168" s="209"/>
      <c r="B1168" s="210"/>
      <c r="C1168" s="210"/>
      <c r="D1168" s="158"/>
      <c r="E1168" s="337"/>
      <c r="F1168" s="337"/>
      <c r="G1168" s="337"/>
      <c r="H1168" s="210"/>
      <c r="I1168" s="338"/>
      <c r="K1168" s="339"/>
    </row>
    <row r="1169" spans="1:11" s="70" customFormat="1" ht="30" customHeight="1">
      <c r="A1169" s="209"/>
      <c r="B1169" s="210"/>
      <c r="C1169" s="210"/>
      <c r="D1169" s="158"/>
      <c r="E1169" s="337"/>
      <c r="F1169" s="337"/>
      <c r="G1169" s="337"/>
      <c r="H1169" s="210"/>
      <c r="I1169" s="338"/>
      <c r="K1169" s="339"/>
    </row>
    <row r="1170" spans="1:11" s="70" customFormat="1" ht="30" customHeight="1">
      <c r="A1170" s="209"/>
      <c r="B1170" s="210"/>
      <c r="C1170" s="210"/>
      <c r="D1170" s="158"/>
      <c r="E1170" s="337"/>
      <c r="F1170" s="337"/>
      <c r="G1170" s="337"/>
      <c r="H1170" s="210"/>
      <c r="I1170" s="338"/>
      <c r="K1170" s="339"/>
    </row>
    <row r="1171" spans="1:11" s="70" customFormat="1" ht="30" customHeight="1">
      <c r="A1171" s="209"/>
      <c r="B1171" s="210"/>
      <c r="C1171" s="210"/>
      <c r="D1171" s="158"/>
      <c r="E1171" s="337"/>
      <c r="F1171" s="337"/>
      <c r="G1171" s="337"/>
      <c r="H1171" s="210"/>
      <c r="I1171" s="338"/>
      <c r="K1171" s="339"/>
    </row>
    <row r="1172" spans="1:11" s="70" customFormat="1" ht="30" customHeight="1">
      <c r="A1172" s="209"/>
      <c r="B1172" s="210"/>
      <c r="C1172" s="210"/>
      <c r="D1172" s="158"/>
      <c r="E1172" s="337"/>
      <c r="F1172" s="337"/>
      <c r="G1172" s="337"/>
      <c r="H1172" s="210"/>
      <c r="I1172" s="338"/>
      <c r="K1172" s="339"/>
    </row>
    <row r="1173" spans="1:11" s="70" customFormat="1" ht="30" customHeight="1">
      <c r="A1173" s="209"/>
      <c r="B1173" s="210"/>
      <c r="C1173" s="210"/>
      <c r="D1173" s="158"/>
      <c r="E1173" s="337"/>
      <c r="F1173" s="337"/>
      <c r="G1173" s="337"/>
      <c r="H1173" s="210"/>
      <c r="I1173" s="338"/>
      <c r="K1173" s="339"/>
    </row>
    <row r="1174" spans="1:11" s="70" customFormat="1" ht="30" customHeight="1">
      <c r="A1174" s="209"/>
      <c r="B1174" s="210"/>
      <c r="C1174" s="210"/>
      <c r="D1174" s="158"/>
      <c r="E1174" s="337"/>
      <c r="F1174" s="337"/>
      <c r="G1174" s="337"/>
      <c r="H1174" s="210"/>
      <c r="I1174" s="338"/>
      <c r="K1174" s="339"/>
    </row>
    <row r="1175" spans="1:11" s="70" customFormat="1" ht="30" customHeight="1">
      <c r="A1175" s="209"/>
      <c r="B1175" s="210"/>
      <c r="C1175" s="210"/>
      <c r="D1175" s="158"/>
      <c r="E1175" s="337"/>
      <c r="F1175" s="337"/>
      <c r="G1175" s="337"/>
      <c r="H1175" s="210"/>
      <c r="I1175" s="338"/>
      <c r="K1175" s="339"/>
    </row>
    <row r="1176" spans="1:11" s="70" customFormat="1" ht="30" customHeight="1">
      <c r="A1176" s="209"/>
      <c r="B1176" s="210"/>
      <c r="C1176" s="210"/>
      <c r="D1176" s="158"/>
      <c r="E1176" s="337"/>
      <c r="F1176" s="337"/>
      <c r="G1176" s="337"/>
      <c r="H1176" s="210"/>
      <c r="I1176" s="338"/>
      <c r="K1176" s="339"/>
    </row>
    <row r="1177" spans="1:11" s="70" customFormat="1" ht="30" customHeight="1">
      <c r="A1177" s="209"/>
      <c r="B1177" s="210"/>
      <c r="C1177" s="210"/>
      <c r="D1177" s="158"/>
      <c r="E1177" s="337"/>
      <c r="F1177" s="337"/>
      <c r="G1177" s="337"/>
      <c r="H1177" s="210"/>
      <c r="I1177" s="338"/>
      <c r="K1177" s="339"/>
    </row>
    <row r="1178" spans="1:11" s="70" customFormat="1" ht="30" customHeight="1">
      <c r="A1178" s="209"/>
      <c r="B1178" s="210"/>
      <c r="C1178" s="210"/>
      <c r="D1178" s="158"/>
      <c r="E1178" s="337"/>
      <c r="F1178" s="337"/>
      <c r="G1178" s="337"/>
      <c r="H1178" s="210"/>
      <c r="I1178" s="338"/>
      <c r="K1178" s="339"/>
    </row>
    <row r="1179" spans="1:11" s="70" customFormat="1" ht="30" customHeight="1">
      <c r="A1179" s="209"/>
      <c r="B1179" s="210"/>
      <c r="C1179" s="210"/>
      <c r="D1179" s="158"/>
      <c r="E1179" s="337"/>
      <c r="F1179" s="337"/>
      <c r="G1179" s="337"/>
      <c r="H1179" s="210"/>
      <c r="I1179" s="338"/>
      <c r="K1179" s="339"/>
    </row>
    <row r="1180" spans="1:11" s="70" customFormat="1" ht="30" customHeight="1">
      <c r="A1180" s="209"/>
      <c r="B1180" s="210"/>
      <c r="C1180" s="210"/>
      <c r="D1180" s="158"/>
      <c r="E1180" s="337"/>
      <c r="F1180" s="337"/>
      <c r="G1180" s="337"/>
      <c r="H1180" s="210"/>
      <c r="I1180" s="338"/>
      <c r="K1180" s="339"/>
    </row>
    <row r="1181" spans="1:11" s="70" customFormat="1" ht="30" customHeight="1">
      <c r="A1181" s="209"/>
      <c r="B1181" s="210"/>
      <c r="C1181" s="210"/>
      <c r="D1181" s="158"/>
      <c r="E1181" s="337"/>
      <c r="F1181" s="337"/>
      <c r="G1181" s="337"/>
      <c r="H1181" s="210"/>
      <c r="I1181" s="338"/>
      <c r="K1181" s="339"/>
    </row>
    <row r="1182" spans="1:11" s="70" customFormat="1" ht="30" customHeight="1">
      <c r="A1182" s="209"/>
      <c r="B1182" s="210"/>
      <c r="C1182" s="210"/>
      <c r="D1182" s="158"/>
      <c r="E1182" s="337"/>
      <c r="F1182" s="337"/>
      <c r="G1182" s="337"/>
      <c r="H1182" s="210"/>
      <c r="I1182" s="338"/>
      <c r="K1182" s="339"/>
    </row>
    <row r="1183" spans="1:11" s="70" customFormat="1" ht="30" customHeight="1">
      <c r="A1183" s="209"/>
      <c r="B1183" s="210"/>
      <c r="C1183" s="210"/>
      <c r="D1183" s="158"/>
      <c r="E1183" s="337"/>
      <c r="F1183" s="337"/>
      <c r="G1183" s="337"/>
      <c r="H1183" s="210"/>
      <c r="I1183" s="338"/>
      <c r="K1183" s="339"/>
    </row>
    <row r="1184" spans="1:11" s="70" customFormat="1" ht="30" customHeight="1">
      <c r="A1184" s="209"/>
      <c r="B1184" s="210"/>
      <c r="C1184" s="210"/>
      <c r="D1184" s="158"/>
      <c r="E1184" s="337"/>
      <c r="F1184" s="337"/>
      <c r="G1184" s="337"/>
      <c r="H1184" s="210"/>
      <c r="I1184" s="338"/>
      <c r="K1184" s="339"/>
    </row>
    <row r="1185" spans="1:11" s="70" customFormat="1" ht="30" customHeight="1">
      <c r="A1185" s="209"/>
      <c r="B1185" s="210"/>
      <c r="C1185" s="210"/>
      <c r="D1185" s="158"/>
      <c r="E1185" s="337"/>
      <c r="F1185" s="337"/>
      <c r="G1185" s="337"/>
      <c r="H1185" s="210"/>
      <c r="I1185" s="338"/>
      <c r="K1185" s="339"/>
    </row>
    <row r="1186" spans="1:11" s="70" customFormat="1" ht="30" customHeight="1">
      <c r="A1186" s="209"/>
      <c r="B1186" s="210"/>
      <c r="C1186" s="210"/>
      <c r="D1186" s="158"/>
      <c r="E1186" s="337"/>
      <c r="F1186" s="337"/>
      <c r="G1186" s="337"/>
      <c r="H1186" s="210"/>
      <c r="I1186" s="338"/>
      <c r="K1186" s="339"/>
    </row>
    <row r="1187" spans="1:11" s="70" customFormat="1" ht="30" customHeight="1">
      <c r="A1187" s="209"/>
      <c r="B1187" s="210"/>
      <c r="C1187" s="210"/>
      <c r="D1187" s="158"/>
      <c r="E1187" s="337"/>
      <c r="F1187" s="337"/>
      <c r="G1187" s="337"/>
      <c r="H1187" s="210"/>
      <c r="I1187" s="338"/>
      <c r="K1187" s="339"/>
    </row>
    <row r="1188" spans="1:11" s="70" customFormat="1" ht="30" customHeight="1">
      <c r="A1188" s="209"/>
      <c r="B1188" s="210"/>
      <c r="C1188" s="210"/>
      <c r="D1188" s="158"/>
      <c r="E1188" s="337"/>
      <c r="F1188" s="337"/>
      <c r="G1188" s="337"/>
      <c r="H1188" s="210"/>
      <c r="I1188" s="338"/>
      <c r="K1188" s="339"/>
    </row>
    <row r="1189" spans="1:11" s="70" customFormat="1" ht="30" customHeight="1">
      <c r="A1189" s="209"/>
      <c r="B1189" s="210"/>
      <c r="C1189" s="210"/>
      <c r="D1189" s="158"/>
      <c r="E1189" s="337"/>
      <c r="F1189" s="337"/>
      <c r="G1189" s="337"/>
      <c r="H1189" s="210"/>
      <c r="I1189" s="338"/>
      <c r="K1189" s="339"/>
    </row>
    <row r="1190" spans="1:11" s="70" customFormat="1" ht="30" customHeight="1">
      <c r="A1190" s="209"/>
      <c r="B1190" s="210"/>
      <c r="C1190" s="210"/>
      <c r="D1190" s="158"/>
      <c r="E1190" s="337"/>
      <c r="F1190" s="337"/>
      <c r="G1190" s="337"/>
      <c r="H1190" s="210"/>
      <c r="I1190" s="338"/>
      <c r="K1190" s="339"/>
    </row>
    <row r="1191" spans="1:11" s="70" customFormat="1" ht="30" customHeight="1">
      <c r="A1191" s="209"/>
      <c r="B1191" s="210"/>
      <c r="C1191" s="210"/>
      <c r="D1191" s="158"/>
      <c r="E1191" s="337"/>
      <c r="F1191" s="337"/>
      <c r="G1191" s="337"/>
      <c r="H1191" s="210"/>
      <c r="I1191" s="338"/>
      <c r="K1191" s="339"/>
    </row>
    <row r="1192" spans="1:11" s="70" customFormat="1" ht="30" customHeight="1">
      <c r="A1192" s="209"/>
      <c r="B1192" s="210"/>
      <c r="C1192" s="210"/>
      <c r="D1192" s="158"/>
      <c r="E1192" s="337"/>
      <c r="F1192" s="337"/>
      <c r="G1192" s="337"/>
      <c r="H1192" s="210"/>
      <c r="I1192" s="338"/>
      <c r="K1192" s="339"/>
    </row>
    <row r="1193" spans="1:11" s="70" customFormat="1" ht="30" customHeight="1">
      <c r="A1193" s="209"/>
      <c r="B1193" s="210"/>
      <c r="C1193" s="210"/>
      <c r="D1193" s="158"/>
      <c r="E1193" s="337"/>
      <c r="F1193" s="337"/>
      <c r="G1193" s="337"/>
      <c r="H1193" s="210"/>
      <c r="I1193" s="338"/>
      <c r="K1193" s="339"/>
    </row>
    <row r="1194" spans="1:11" s="70" customFormat="1" ht="30" customHeight="1">
      <c r="A1194" s="209"/>
      <c r="B1194" s="210"/>
      <c r="C1194" s="210"/>
      <c r="D1194" s="158"/>
      <c r="E1194" s="337"/>
      <c r="F1194" s="337"/>
      <c r="G1194" s="337"/>
      <c r="H1194" s="210"/>
      <c r="I1194" s="338"/>
      <c r="K1194" s="339"/>
    </row>
    <row r="1195" spans="1:11" s="70" customFormat="1" ht="30" customHeight="1">
      <c r="A1195" s="209"/>
      <c r="B1195" s="210"/>
      <c r="C1195" s="210"/>
      <c r="D1195" s="158"/>
      <c r="E1195" s="337"/>
      <c r="F1195" s="337"/>
      <c r="G1195" s="337"/>
      <c r="H1195" s="210"/>
      <c r="I1195" s="338"/>
      <c r="K1195" s="339"/>
    </row>
    <row r="1196" spans="1:11" s="70" customFormat="1" ht="30" customHeight="1">
      <c r="A1196" s="209"/>
      <c r="B1196" s="210"/>
      <c r="C1196" s="210"/>
      <c r="D1196" s="158"/>
      <c r="E1196" s="337"/>
      <c r="F1196" s="337"/>
      <c r="G1196" s="337"/>
      <c r="H1196" s="210"/>
      <c r="I1196" s="338"/>
      <c r="K1196" s="339"/>
    </row>
    <row r="1197" spans="1:11" s="70" customFormat="1" ht="30" customHeight="1">
      <c r="A1197" s="209"/>
      <c r="B1197" s="210"/>
      <c r="C1197" s="210"/>
      <c r="D1197" s="158"/>
      <c r="E1197" s="337"/>
      <c r="F1197" s="337"/>
      <c r="G1197" s="337"/>
      <c r="H1197" s="210"/>
      <c r="I1197" s="338"/>
      <c r="K1197" s="339"/>
    </row>
    <row r="1198" spans="1:11" s="70" customFormat="1" ht="30" customHeight="1">
      <c r="A1198" s="209"/>
      <c r="B1198" s="210"/>
      <c r="C1198" s="210"/>
      <c r="D1198" s="158"/>
      <c r="E1198" s="337"/>
      <c r="F1198" s="337"/>
      <c r="G1198" s="337"/>
      <c r="H1198" s="210"/>
      <c r="I1198" s="338"/>
      <c r="K1198" s="339"/>
    </row>
    <row r="1199" spans="1:11" s="70" customFormat="1" ht="30" customHeight="1">
      <c r="A1199" s="209"/>
      <c r="B1199" s="210"/>
      <c r="C1199" s="210"/>
      <c r="D1199" s="158"/>
      <c r="E1199" s="337"/>
      <c r="F1199" s="337"/>
      <c r="G1199" s="337"/>
      <c r="H1199" s="210"/>
      <c r="I1199" s="338"/>
      <c r="K1199" s="339"/>
    </row>
    <row r="1200" spans="1:11" s="70" customFormat="1" ht="30" customHeight="1">
      <c r="A1200" s="209"/>
      <c r="B1200" s="210"/>
      <c r="C1200" s="210"/>
      <c r="D1200" s="158"/>
      <c r="E1200" s="337"/>
      <c r="F1200" s="337"/>
      <c r="G1200" s="337"/>
      <c r="H1200" s="210"/>
      <c r="I1200" s="338"/>
      <c r="K1200" s="339"/>
    </row>
    <row r="1201" spans="1:11" s="70" customFormat="1" ht="30" customHeight="1">
      <c r="A1201" s="209"/>
      <c r="B1201" s="210"/>
      <c r="C1201" s="210"/>
      <c r="D1201" s="158"/>
      <c r="E1201" s="337"/>
      <c r="F1201" s="337"/>
      <c r="G1201" s="337"/>
      <c r="H1201" s="210"/>
      <c r="I1201" s="338"/>
      <c r="K1201" s="339"/>
    </row>
    <row r="1202" spans="1:11" s="70" customFormat="1" ht="30" customHeight="1">
      <c r="A1202" s="209"/>
      <c r="B1202" s="210"/>
      <c r="C1202" s="210"/>
      <c r="D1202" s="158"/>
      <c r="E1202" s="337"/>
      <c r="F1202" s="337"/>
      <c r="G1202" s="337"/>
      <c r="H1202" s="210"/>
      <c r="I1202" s="338"/>
      <c r="K1202" s="339"/>
    </row>
    <row r="1203" spans="1:11" s="70" customFormat="1" ht="30" customHeight="1">
      <c r="A1203" s="209"/>
      <c r="B1203" s="210"/>
      <c r="C1203" s="210"/>
      <c r="D1203" s="158"/>
      <c r="E1203" s="337"/>
      <c r="F1203" s="337"/>
      <c r="G1203" s="337"/>
      <c r="H1203" s="210"/>
      <c r="I1203" s="338"/>
      <c r="K1203" s="339"/>
    </row>
    <row r="1204" spans="1:11" s="70" customFormat="1" ht="30" customHeight="1">
      <c r="A1204" s="209"/>
      <c r="B1204" s="210"/>
      <c r="C1204" s="210"/>
      <c r="D1204" s="158"/>
      <c r="E1204" s="337"/>
      <c r="F1204" s="337"/>
      <c r="G1204" s="337"/>
      <c r="H1204" s="210"/>
      <c r="I1204" s="338"/>
      <c r="K1204" s="339"/>
    </row>
    <row r="1205" spans="1:11" s="70" customFormat="1" ht="30" customHeight="1">
      <c r="A1205" s="209"/>
      <c r="B1205" s="210"/>
      <c r="C1205" s="210"/>
      <c r="D1205" s="158"/>
      <c r="E1205" s="337"/>
      <c r="F1205" s="337"/>
      <c r="G1205" s="337"/>
      <c r="H1205" s="210"/>
      <c r="I1205" s="338"/>
      <c r="K1205" s="339"/>
    </row>
    <row r="1206" spans="1:11" s="70" customFormat="1" ht="30" customHeight="1">
      <c r="A1206" s="209"/>
      <c r="B1206" s="210"/>
      <c r="C1206" s="210"/>
      <c r="D1206" s="158"/>
      <c r="E1206" s="337"/>
      <c r="F1206" s="337"/>
      <c r="G1206" s="337"/>
      <c r="H1206" s="210"/>
      <c r="I1206" s="338"/>
      <c r="K1206" s="339"/>
    </row>
    <row r="1207" spans="1:11" s="70" customFormat="1" ht="30" customHeight="1">
      <c r="A1207" s="209"/>
      <c r="B1207" s="210"/>
      <c r="C1207" s="210"/>
      <c r="D1207" s="158"/>
      <c r="E1207" s="337"/>
      <c r="F1207" s="337"/>
      <c r="G1207" s="337"/>
      <c r="H1207" s="210"/>
      <c r="I1207" s="338"/>
      <c r="K1207" s="339"/>
    </row>
    <row r="1208" spans="1:11" s="70" customFormat="1" ht="30" customHeight="1">
      <c r="A1208" s="209"/>
      <c r="B1208" s="210"/>
      <c r="C1208" s="210"/>
      <c r="D1208" s="158"/>
      <c r="E1208" s="337"/>
      <c r="F1208" s="337"/>
      <c r="G1208" s="337"/>
      <c r="H1208" s="210"/>
      <c r="I1208" s="338"/>
      <c r="K1208" s="339"/>
    </row>
    <row r="1209" spans="1:11" s="70" customFormat="1" ht="30" customHeight="1">
      <c r="A1209" s="209"/>
      <c r="B1209" s="210"/>
      <c r="C1209" s="210"/>
      <c r="D1209" s="158"/>
      <c r="E1209" s="337"/>
      <c r="F1209" s="337"/>
      <c r="G1209" s="337"/>
      <c r="H1209" s="210"/>
      <c r="I1209" s="338"/>
      <c r="K1209" s="339"/>
    </row>
    <row r="1210" spans="1:11" s="70" customFormat="1" ht="30" customHeight="1">
      <c r="A1210" s="209"/>
      <c r="B1210" s="210"/>
      <c r="C1210" s="210"/>
      <c r="D1210" s="158"/>
      <c r="E1210" s="337"/>
      <c r="F1210" s="337"/>
      <c r="G1210" s="337"/>
      <c r="H1210" s="210"/>
      <c r="I1210" s="338"/>
      <c r="K1210" s="339"/>
    </row>
    <row r="1211" spans="1:11" s="70" customFormat="1" ht="30" customHeight="1">
      <c r="A1211" s="209"/>
      <c r="B1211" s="210"/>
      <c r="C1211" s="210"/>
      <c r="D1211" s="158"/>
      <c r="E1211" s="337"/>
      <c r="F1211" s="337"/>
      <c r="G1211" s="337"/>
      <c r="H1211" s="210"/>
      <c r="I1211" s="338"/>
      <c r="K1211" s="339"/>
    </row>
    <row r="1212" spans="1:11" s="70" customFormat="1" ht="30" customHeight="1">
      <c r="A1212" s="209"/>
      <c r="B1212" s="210"/>
      <c r="C1212" s="210"/>
      <c r="D1212" s="158"/>
      <c r="E1212" s="337"/>
      <c r="F1212" s="337"/>
      <c r="G1212" s="337"/>
      <c r="H1212" s="210"/>
      <c r="I1212" s="338"/>
      <c r="K1212" s="339"/>
    </row>
    <row r="1213" spans="1:11" s="70" customFormat="1" ht="30" customHeight="1">
      <c r="A1213" s="209"/>
      <c r="B1213" s="210"/>
      <c r="C1213" s="210"/>
      <c r="D1213" s="158"/>
      <c r="E1213" s="337"/>
      <c r="F1213" s="337"/>
      <c r="G1213" s="337"/>
      <c r="H1213" s="210"/>
      <c r="I1213" s="338"/>
      <c r="K1213" s="339"/>
    </row>
    <row r="1214" spans="1:11" s="70" customFormat="1" ht="30" customHeight="1">
      <c r="A1214" s="209"/>
      <c r="B1214" s="210"/>
      <c r="C1214" s="210"/>
      <c r="D1214" s="158"/>
      <c r="E1214" s="337"/>
      <c r="F1214" s="337"/>
      <c r="G1214" s="337"/>
      <c r="H1214" s="210"/>
      <c r="I1214" s="338"/>
      <c r="K1214" s="339"/>
    </row>
    <row r="1215" spans="1:11" s="70" customFormat="1" ht="30" customHeight="1">
      <c r="A1215" s="209"/>
      <c r="B1215" s="210"/>
      <c r="C1215" s="210"/>
      <c r="D1215" s="158"/>
      <c r="E1215" s="337"/>
      <c r="F1215" s="337"/>
      <c r="G1215" s="337"/>
      <c r="H1215" s="210"/>
      <c r="I1215" s="338"/>
      <c r="K1215" s="339"/>
    </row>
    <row r="1216" spans="1:11" s="70" customFormat="1" ht="30" customHeight="1">
      <c r="A1216" s="209"/>
      <c r="B1216" s="210"/>
      <c r="C1216" s="210"/>
      <c r="D1216" s="158"/>
      <c r="E1216" s="337"/>
      <c r="F1216" s="337"/>
      <c r="G1216" s="337"/>
      <c r="H1216" s="210"/>
      <c r="I1216" s="338"/>
      <c r="K1216" s="339"/>
    </row>
    <row r="1217" spans="1:11" s="70" customFormat="1" ht="30" customHeight="1">
      <c r="A1217" s="209"/>
      <c r="B1217" s="210"/>
      <c r="C1217" s="210"/>
      <c r="D1217" s="158"/>
      <c r="E1217" s="337"/>
      <c r="F1217" s="337"/>
      <c r="G1217" s="337"/>
      <c r="H1217" s="210"/>
      <c r="I1217" s="338"/>
      <c r="K1217" s="339"/>
    </row>
    <row r="1218" spans="1:11" s="70" customFormat="1" ht="30" customHeight="1">
      <c r="A1218" s="209"/>
      <c r="B1218" s="210"/>
      <c r="C1218" s="210"/>
      <c r="D1218" s="158"/>
      <c r="E1218" s="337"/>
      <c r="F1218" s="337"/>
      <c r="G1218" s="337"/>
      <c r="H1218" s="210"/>
      <c r="I1218" s="338"/>
      <c r="K1218" s="339"/>
    </row>
    <row r="1219" spans="1:11" s="70" customFormat="1" ht="30" customHeight="1">
      <c r="A1219" s="209"/>
      <c r="B1219" s="210"/>
      <c r="C1219" s="210"/>
      <c r="D1219" s="158"/>
      <c r="E1219" s="337"/>
      <c r="F1219" s="337"/>
      <c r="G1219" s="337"/>
      <c r="H1219" s="210"/>
      <c r="I1219" s="338"/>
      <c r="K1219" s="339"/>
    </row>
    <row r="1220" spans="1:11" s="70" customFormat="1" ht="30" customHeight="1">
      <c r="A1220" s="209"/>
      <c r="B1220" s="210"/>
      <c r="C1220" s="210"/>
      <c r="D1220" s="158"/>
      <c r="E1220" s="337"/>
      <c r="F1220" s="337"/>
      <c r="G1220" s="337"/>
      <c r="H1220" s="210"/>
      <c r="I1220" s="338"/>
      <c r="K1220" s="339"/>
    </row>
    <row r="1221" spans="1:11" s="70" customFormat="1" ht="30" customHeight="1">
      <c r="A1221" s="209"/>
      <c r="B1221" s="210"/>
      <c r="C1221" s="210"/>
      <c r="D1221" s="158"/>
      <c r="E1221" s="337"/>
      <c r="F1221" s="337"/>
      <c r="G1221" s="337"/>
      <c r="H1221" s="210"/>
      <c r="I1221" s="338"/>
      <c r="K1221" s="339"/>
    </row>
    <row r="1222" spans="1:11" s="70" customFormat="1" ht="30" customHeight="1">
      <c r="A1222" s="209"/>
      <c r="B1222" s="210"/>
      <c r="C1222" s="210"/>
      <c r="D1222" s="158"/>
      <c r="E1222" s="337"/>
      <c r="F1222" s="337"/>
      <c r="G1222" s="337"/>
      <c r="H1222" s="210"/>
      <c r="I1222" s="338"/>
      <c r="K1222" s="339"/>
    </row>
    <row r="1223" spans="1:11" s="70" customFormat="1" ht="30" customHeight="1">
      <c r="A1223" s="209"/>
      <c r="B1223" s="210"/>
      <c r="C1223" s="210"/>
      <c r="D1223" s="158"/>
      <c r="E1223" s="337"/>
      <c r="F1223" s="337"/>
      <c r="G1223" s="337"/>
      <c r="H1223" s="210"/>
      <c r="I1223" s="338"/>
      <c r="K1223" s="339"/>
    </row>
    <row r="1224" spans="1:11" s="70" customFormat="1" ht="30" customHeight="1">
      <c r="A1224" s="209"/>
      <c r="B1224" s="210"/>
      <c r="C1224" s="210"/>
      <c r="D1224" s="158"/>
      <c r="E1224" s="337"/>
      <c r="F1224" s="337"/>
      <c r="G1224" s="337"/>
      <c r="H1224" s="210"/>
      <c r="I1224" s="338"/>
      <c r="K1224" s="339"/>
    </row>
    <row r="1225" spans="1:11" s="70" customFormat="1" ht="30" customHeight="1">
      <c r="A1225" s="209"/>
      <c r="B1225" s="210"/>
      <c r="C1225" s="210"/>
      <c r="D1225" s="158"/>
      <c r="E1225" s="337"/>
      <c r="F1225" s="337"/>
      <c r="G1225" s="337"/>
      <c r="H1225" s="210"/>
      <c r="I1225" s="338"/>
      <c r="K1225" s="339"/>
    </row>
    <row r="1226" spans="1:11" s="70" customFormat="1" ht="30" customHeight="1">
      <c r="A1226" s="209"/>
      <c r="B1226" s="210"/>
      <c r="C1226" s="210"/>
      <c r="D1226" s="158"/>
      <c r="E1226" s="337"/>
      <c r="F1226" s="337"/>
      <c r="G1226" s="337"/>
      <c r="H1226" s="210"/>
      <c r="I1226" s="338"/>
      <c r="K1226" s="339"/>
    </row>
    <row r="1227" spans="1:11" s="70" customFormat="1" ht="30" customHeight="1">
      <c r="A1227" s="209"/>
      <c r="B1227" s="210"/>
      <c r="C1227" s="210"/>
      <c r="D1227" s="158"/>
      <c r="E1227" s="337"/>
      <c r="F1227" s="337"/>
      <c r="G1227" s="337"/>
      <c r="H1227" s="210"/>
      <c r="I1227" s="338"/>
      <c r="K1227" s="339"/>
    </row>
    <row r="1228" spans="1:11" s="70" customFormat="1" ht="30" customHeight="1">
      <c r="A1228" s="209"/>
      <c r="B1228" s="210"/>
      <c r="C1228" s="210"/>
      <c r="D1228" s="158"/>
      <c r="E1228" s="337"/>
      <c r="F1228" s="337"/>
      <c r="G1228" s="337"/>
      <c r="H1228" s="210"/>
      <c r="I1228" s="338"/>
      <c r="K1228" s="339"/>
    </row>
    <row r="1229" spans="1:11" s="70" customFormat="1" ht="30" customHeight="1">
      <c r="A1229" s="209"/>
      <c r="B1229" s="210"/>
      <c r="C1229" s="210"/>
      <c r="D1229" s="158"/>
      <c r="E1229" s="337"/>
      <c r="F1229" s="337"/>
      <c r="G1229" s="337"/>
      <c r="H1229" s="210"/>
      <c r="I1229" s="338"/>
      <c r="K1229" s="339"/>
    </row>
    <row r="1230" spans="1:11" s="70" customFormat="1" ht="30" customHeight="1">
      <c r="A1230" s="209"/>
      <c r="B1230" s="210"/>
      <c r="C1230" s="210"/>
      <c r="D1230" s="158"/>
      <c r="E1230" s="337"/>
      <c r="F1230" s="337"/>
      <c r="G1230" s="337"/>
      <c r="H1230" s="210"/>
      <c r="I1230" s="338"/>
      <c r="K1230" s="339"/>
    </row>
    <row r="1231" spans="1:11" s="70" customFormat="1" ht="30" customHeight="1">
      <c r="A1231" s="209"/>
      <c r="B1231" s="210"/>
      <c r="C1231" s="210"/>
      <c r="D1231" s="158"/>
      <c r="E1231" s="337"/>
      <c r="F1231" s="337"/>
      <c r="G1231" s="337"/>
      <c r="H1231" s="210"/>
      <c r="I1231" s="338"/>
      <c r="K1231" s="339"/>
    </row>
    <row r="1232" spans="1:11" s="70" customFormat="1" ht="30" customHeight="1">
      <c r="A1232" s="209"/>
      <c r="B1232" s="210"/>
      <c r="C1232" s="210"/>
      <c r="D1232" s="158"/>
      <c r="E1232" s="337"/>
      <c r="F1232" s="337"/>
      <c r="G1232" s="337"/>
      <c r="H1232" s="210"/>
      <c r="I1232" s="338"/>
      <c r="K1232" s="339"/>
    </row>
    <row r="1233" spans="1:11" s="70" customFormat="1" ht="30" customHeight="1">
      <c r="A1233" s="209"/>
      <c r="B1233" s="210"/>
      <c r="C1233" s="210"/>
      <c r="D1233" s="158"/>
      <c r="E1233" s="337"/>
      <c r="F1233" s="337"/>
      <c r="G1233" s="337"/>
      <c r="H1233" s="210"/>
      <c r="I1233" s="338"/>
      <c r="K1233" s="339"/>
    </row>
    <row r="1234" spans="1:11" s="70" customFormat="1" ht="30" customHeight="1">
      <c r="A1234" s="209"/>
      <c r="B1234" s="210"/>
      <c r="C1234" s="210"/>
      <c r="D1234" s="158"/>
      <c r="E1234" s="337"/>
      <c r="F1234" s="337"/>
      <c r="G1234" s="337"/>
      <c r="H1234" s="210"/>
      <c r="I1234" s="338"/>
      <c r="K1234" s="339"/>
    </row>
    <row r="1235" spans="1:11" s="70" customFormat="1" ht="30" customHeight="1">
      <c r="A1235" s="209"/>
      <c r="B1235" s="210"/>
      <c r="C1235" s="210"/>
      <c r="D1235" s="158"/>
      <c r="E1235" s="337"/>
      <c r="F1235" s="337"/>
      <c r="G1235" s="337"/>
      <c r="H1235" s="210"/>
      <c r="I1235" s="338"/>
      <c r="K1235" s="339"/>
    </row>
    <row r="1236" spans="1:11" s="70" customFormat="1" ht="30" customHeight="1">
      <c r="A1236" s="209"/>
      <c r="B1236" s="210"/>
      <c r="C1236" s="210"/>
      <c r="D1236" s="158"/>
      <c r="E1236" s="337"/>
      <c r="F1236" s="337"/>
      <c r="G1236" s="337"/>
      <c r="H1236" s="210"/>
      <c r="I1236" s="338"/>
      <c r="K1236" s="339"/>
    </row>
    <row r="1237" spans="1:11" s="70" customFormat="1" ht="30" customHeight="1">
      <c r="A1237" s="209"/>
      <c r="B1237" s="210"/>
      <c r="C1237" s="210"/>
      <c r="D1237" s="158"/>
      <c r="E1237" s="337"/>
      <c r="F1237" s="337"/>
      <c r="G1237" s="337"/>
      <c r="H1237" s="210"/>
      <c r="I1237" s="338"/>
      <c r="K1237" s="339"/>
    </row>
    <row r="1238" spans="1:11" s="70" customFormat="1" ht="30" customHeight="1">
      <c r="A1238" s="209"/>
      <c r="B1238" s="210"/>
      <c r="C1238" s="210"/>
      <c r="D1238" s="158"/>
      <c r="E1238" s="337"/>
      <c r="F1238" s="337"/>
      <c r="G1238" s="337"/>
      <c r="H1238" s="210"/>
      <c r="I1238" s="338"/>
      <c r="K1238" s="339"/>
    </row>
    <row r="1239" spans="1:11" s="70" customFormat="1" ht="30" customHeight="1">
      <c r="A1239" s="209"/>
      <c r="B1239" s="210"/>
      <c r="C1239" s="210"/>
      <c r="D1239" s="158"/>
      <c r="E1239" s="337"/>
      <c r="F1239" s="337"/>
      <c r="G1239" s="337"/>
      <c r="H1239" s="210"/>
      <c r="I1239" s="338"/>
      <c r="K1239" s="339"/>
    </row>
    <row r="1240" spans="1:11" s="70" customFormat="1" ht="30" customHeight="1">
      <c r="A1240" s="209"/>
      <c r="B1240" s="210"/>
      <c r="C1240" s="210"/>
      <c r="D1240" s="158"/>
      <c r="E1240" s="337"/>
      <c r="F1240" s="337"/>
      <c r="G1240" s="337"/>
      <c r="H1240" s="210"/>
      <c r="I1240" s="338"/>
      <c r="K1240" s="339"/>
    </row>
    <row r="1241" spans="1:11" s="70" customFormat="1" ht="30" customHeight="1">
      <c r="A1241" s="209"/>
      <c r="B1241" s="210"/>
      <c r="C1241" s="210"/>
      <c r="D1241" s="158"/>
      <c r="E1241" s="337"/>
      <c r="F1241" s="337"/>
      <c r="G1241" s="337"/>
      <c r="H1241" s="210"/>
      <c r="I1241" s="338"/>
      <c r="K1241" s="339"/>
    </row>
    <row r="1242" spans="1:11" s="70" customFormat="1" ht="30" customHeight="1">
      <c r="A1242" s="209"/>
      <c r="B1242" s="210"/>
      <c r="C1242" s="210"/>
      <c r="D1242" s="158"/>
      <c r="E1242" s="337"/>
      <c r="F1242" s="337"/>
      <c r="G1242" s="337"/>
      <c r="H1242" s="210"/>
      <c r="I1242" s="338"/>
      <c r="K1242" s="339"/>
    </row>
    <row r="1243" spans="1:11" s="70" customFormat="1" ht="30" customHeight="1">
      <c r="A1243" s="209"/>
      <c r="B1243" s="210"/>
      <c r="C1243" s="210"/>
      <c r="D1243" s="158"/>
      <c r="E1243" s="337"/>
      <c r="F1243" s="337"/>
      <c r="G1243" s="337"/>
      <c r="H1243" s="210"/>
      <c r="I1243" s="338"/>
      <c r="K1243" s="339"/>
    </row>
    <row r="1244" spans="1:11" s="70" customFormat="1" ht="30" customHeight="1">
      <c r="A1244" s="209"/>
      <c r="B1244" s="210"/>
      <c r="C1244" s="210"/>
      <c r="D1244" s="158"/>
      <c r="E1244" s="337"/>
      <c r="F1244" s="337"/>
      <c r="G1244" s="337"/>
      <c r="H1244" s="210"/>
      <c r="I1244" s="338"/>
      <c r="K1244" s="339"/>
    </row>
    <row r="1245" spans="1:11" s="70" customFormat="1" ht="30" customHeight="1">
      <c r="A1245" s="209"/>
      <c r="B1245" s="210"/>
      <c r="C1245" s="210"/>
      <c r="D1245" s="158"/>
      <c r="E1245" s="337"/>
      <c r="F1245" s="337"/>
      <c r="G1245" s="337"/>
      <c r="H1245" s="210"/>
      <c r="I1245" s="338"/>
      <c r="K1245" s="339"/>
    </row>
    <row r="1246" spans="1:11" s="70" customFormat="1" ht="30" customHeight="1">
      <c r="A1246" s="209"/>
      <c r="B1246" s="210"/>
      <c r="C1246" s="210"/>
      <c r="D1246" s="158"/>
      <c r="E1246" s="337"/>
      <c r="F1246" s="337"/>
      <c r="G1246" s="337"/>
      <c r="H1246" s="210"/>
      <c r="I1246" s="338"/>
      <c r="K1246" s="339"/>
    </row>
    <row r="1247" spans="1:11" s="70" customFormat="1" ht="30" customHeight="1">
      <c r="A1247" s="209"/>
      <c r="B1247" s="210"/>
      <c r="C1247" s="210"/>
      <c r="D1247" s="158"/>
      <c r="E1247" s="337"/>
      <c r="F1247" s="337"/>
      <c r="G1247" s="337"/>
      <c r="H1247" s="210"/>
      <c r="I1247" s="338"/>
      <c r="K1247" s="339"/>
    </row>
    <row r="1248" spans="1:11" s="70" customFormat="1" ht="30" customHeight="1">
      <c r="A1248" s="209"/>
      <c r="B1248" s="210"/>
      <c r="C1248" s="210"/>
      <c r="D1248" s="158"/>
      <c r="E1248" s="337"/>
      <c r="F1248" s="337"/>
      <c r="G1248" s="337"/>
      <c r="H1248" s="210"/>
      <c r="I1248" s="338"/>
      <c r="K1248" s="339"/>
    </row>
    <row r="1249" spans="1:11" s="70" customFormat="1" ht="30" customHeight="1">
      <c r="A1249" s="209"/>
      <c r="B1249" s="210"/>
      <c r="C1249" s="210"/>
      <c r="D1249" s="158"/>
      <c r="E1249" s="337"/>
      <c r="F1249" s="337"/>
      <c r="G1249" s="337"/>
      <c r="H1249" s="210"/>
      <c r="I1249" s="338"/>
      <c r="K1249" s="339"/>
    </row>
    <row r="1250" spans="1:11" s="70" customFormat="1" ht="30" customHeight="1">
      <c r="A1250" s="209"/>
      <c r="B1250" s="210"/>
      <c r="C1250" s="210"/>
      <c r="D1250" s="158"/>
      <c r="E1250" s="337"/>
      <c r="F1250" s="337"/>
      <c r="G1250" s="337"/>
      <c r="H1250" s="210"/>
      <c r="I1250" s="338"/>
      <c r="K1250" s="339"/>
    </row>
    <row r="1251" spans="1:11" s="70" customFormat="1" ht="30" customHeight="1">
      <c r="A1251" s="209"/>
      <c r="B1251" s="210"/>
      <c r="C1251" s="210"/>
      <c r="D1251" s="158"/>
      <c r="E1251" s="337"/>
      <c r="F1251" s="337"/>
      <c r="G1251" s="337"/>
      <c r="H1251" s="210"/>
      <c r="I1251" s="338"/>
      <c r="K1251" s="339"/>
    </row>
    <row r="1252" spans="1:11" s="70" customFormat="1" ht="30" customHeight="1">
      <c r="A1252" s="209"/>
      <c r="B1252" s="210"/>
      <c r="C1252" s="210"/>
      <c r="D1252" s="158"/>
      <c r="E1252" s="337"/>
      <c r="F1252" s="337"/>
      <c r="G1252" s="337"/>
      <c r="H1252" s="210"/>
      <c r="I1252" s="338"/>
      <c r="K1252" s="339"/>
    </row>
    <row r="1253" spans="1:11" s="70" customFormat="1" ht="30" customHeight="1">
      <c r="A1253" s="209"/>
      <c r="B1253" s="210"/>
      <c r="C1253" s="210"/>
      <c r="D1253" s="158"/>
      <c r="E1253" s="337"/>
      <c r="F1253" s="337"/>
      <c r="G1253" s="337"/>
      <c r="H1253" s="210"/>
      <c r="I1253" s="338"/>
      <c r="K1253" s="339"/>
    </row>
    <row r="1254" spans="1:11" s="70" customFormat="1" ht="30" customHeight="1">
      <c r="A1254" s="209"/>
      <c r="B1254" s="210"/>
      <c r="C1254" s="210"/>
      <c r="D1254" s="158"/>
      <c r="E1254" s="337"/>
      <c r="F1254" s="337"/>
      <c r="G1254" s="337"/>
      <c r="H1254" s="210"/>
      <c r="I1254" s="338"/>
      <c r="K1254" s="339"/>
    </row>
    <row r="1255" spans="1:11" s="70" customFormat="1" ht="30" customHeight="1">
      <c r="A1255" s="209"/>
      <c r="B1255" s="210"/>
      <c r="C1255" s="210"/>
      <c r="D1255" s="158"/>
      <c r="E1255" s="337"/>
      <c r="F1255" s="337"/>
      <c r="G1255" s="337"/>
      <c r="H1255" s="210"/>
      <c r="I1255" s="338"/>
      <c r="K1255" s="339"/>
    </row>
    <row r="1256" spans="1:11" s="70" customFormat="1" ht="30" customHeight="1">
      <c r="A1256" s="209"/>
      <c r="B1256" s="210"/>
      <c r="C1256" s="210"/>
      <c r="D1256" s="158"/>
      <c r="E1256" s="337"/>
      <c r="F1256" s="337"/>
      <c r="G1256" s="337"/>
      <c r="H1256" s="210"/>
      <c r="I1256" s="338"/>
      <c r="K1256" s="339"/>
    </row>
    <row r="1257" spans="1:11" s="70" customFormat="1" ht="30" customHeight="1">
      <c r="A1257" s="209"/>
      <c r="B1257" s="210"/>
      <c r="C1257" s="210"/>
      <c r="D1257" s="158"/>
      <c r="E1257" s="337"/>
      <c r="F1257" s="337"/>
      <c r="G1257" s="337"/>
      <c r="H1257" s="210"/>
      <c r="I1257" s="338"/>
      <c r="K1257" s="339"/>
    </row>
    <row r="1258" spans="1:11" s="70" customFormat="1" ht="30" customHeight="1">
      <c r="A1258" s="209"/>
      <c r="B1258" s="210"/>
      <c r="C1258" s="210"/>
      <c r="D1258" s="158"/>
      <c r="E1258" s="337"/>
      <c r="F1258" s="337"/>
      <c r="G1258" s="337"/>
      <c r="H1258" s="210"/>
      <c r="I1258" s="338"/>
      <c r="K1258" s="339"/>
    </row>
    <row r="1259" spans="1:11" s="70" customFormat="1" ht="30" customHeight="1">
      <c r="A1259" s="209"/>
      <c r="B1259" s="210"/>
      <c r="C1259" s="210"/>
      <c r="D1259" s="158"/>
      <c r="E1259" s="337"/>
      <c r="F1259" s="337"/>
      <c r="G1259" s="337"/>
      <c r="H1259" s="210"/>
      <c r="I1259" s="338"/>
      <c r="K1259" s="339"/>
    </row>
    <row r="1260" spans="1:11" s="70" customFormat="1" ht="30" customHeight="1">
      <c r="A1260" s="209"/>
      <c r="B1260" s="210"/>
      <c r="C1260" s="210"/>
      <c r="D1260" s="158"/>
      <c r="E1260" s="337"/>
      <c r="F1260" s="337"/>
      <c r="G1260" s="337"/>
      <c r="H1260" s="210"/>
      <c r="I1260" s="338"/>
      <c r="K1260" s="339"/>
    </row>
    <row r="1261" spans="1:11" s="70" customFormat="1" ht="30" customHeight="1">
      <c r="A1261" s="209"/>
      <c r="B1261" s="210"/>
      <c r="C1261" s="210"/>
      <c r="D1261" s="158"/>
      <c r="E1261" s="337"/>
      <c r="F1261" s="337"/>
      <c r="G1261" s="337"/>
      <c r="H1261" s="210"/>
      <c r="I1261" s="338"/>
      <c r="K1261" s="339"/>
    </row>
    <row r="1262" spans="1:11" s="70" customFormat="1" ht="30" customHeight="1">
      <c r="A1262" s="209"/>
      <c r="B1262" s="210"/>
      <c r="C1262" s="210"/>
      <c r="D1262" s="158"/>
      <c r="E1262" s="337"/>
      <c r="F1262" s="337"/>
      <c r="G1262" s="337"/>
      <c r="H1262" s="210"/>
      <c r="I1262" s="338"/>
      <c r="K1262" s="339"/>
    </row>
    <row r="1263" spans="1:11" s="70" customFormat="1" ht="30" customHeight="1">
      <c r="A1263" s="209"/>
      <c r="B1263" s="210"/>
      <c r="C1263" s="210"/>
      <c r="D1263" s="158"/>
      <c r="E1263" s="337"/>
      <c r="F1263" s="337"/>
      <c r="G1263" s="337"/>
      <c r="H1263" s="210"/>
      <c r="I1263" s="338"/>
      <c r="K1263" s="339"/>
    </row>
    <row r="1264" spans="1:11" s="70" customFormat="1" ht="30" customHeight="1">
      <c r="A1264" s="209"/>
      <c r="B1264" s="210"/>
      <c r="C1264" s="210"/>
      <c r="D1264" s="158"/>
      <c r="E1264" s="337"/>
      <c r="F1264" s="337"/>
      <c r="G1264" s="337"/>
      <c r="H1264" s="210"/>
      <c r="I1264" s="338"/>
      <c r="K1264" s="339"/>
    </row>
    <row r="1265" spans="1:11" s="70" customFormat="1" ht="30" customHeight="1">
      <c r="A1265" s="209"/>
      <c r="B1265" s="210"/>
      <c r="C1265" s="210"/>
      <c r="D1265" s="158"/>
      <c r="E1265" s="337"/>
      <c r="F1265" s="337"/>
      <c r="G1265" s="337"/>
      <c r="H1265" s="210"/>
      <c r="I1265" s="338"/>
      <c r="K1265" s="339"/>
    </row>
    <row r="1266" spans="1:11" s="70" customFormat="1" ht="30" customHeight="1">
      <c r="A1266" s="209"/>
      <c r="B1266" s="210"/>
      <c r="C1266" s="210"/>
      <c r="D1266" s="158"/>
      <c r="E1266" s="337"/>
      <c r="F1266" s="337"/>
      <c r="G1266" s="337"/>
      <c r="H1266" s="210"/>
      <c r="I1266" s="338"/>
      <c r="K1266" s="339"/>
    </row>
    <row r="1267" spans="1:11" s="70" customFormat="1" ht="30" customHeight="1">
      <c r="A1267" s="209"/>
      <c r="B1267" s="210"/>
      <c r="C1267" s="210"/>
      <c r="D1267" s="158"/>
      <c r="E1267" s="337"/>
      <c r="F1267" s="337"/>
      <c r="G1267" s="337"/>
      <c r="H1267" s="210"/>
      <c r="I1267" s="338"/>
      <c r="K1267" s="339"/>
    </row>
    <row r="1268" spans="1:11" s="70" customFormat="1" ht="30" customHeight="1">
      <c r="A1268" s="209"/>
      <c r="B1268" s="210"/>
      <c r="C1268" s="210"/>
      <c r="D1268" s="158"/>
      <c r="E1268" s="337"/>
      <c r="F1268" s="337"/>
      <c r="G1268" s="337"/>
      <c r="H1268" s="210"/>
      <c r="I1268" s="338"/>
      <c r="K1268" s="339"/>
    </row>
    <row r="1269" spans="1:11" s="70" customFormat="1" ht="30" customHeight="1">
      <c r="A1269" s="209"/>
      <c r="B1269" s="210"/>
      <c r="C1269" s="210"/>
      <c r="D1269" s="158"/>
      <c r="E1269" s="337"/>
      <c r="F1269" s="337"/>
      <c r="G1269" s="337"/>
      <c r="H1269" s="210"/>
      <c r="I1269" s="338"/>
      <c r="K1269" s="339"/>
    </row>
    <row r="1270" spans="1:11" s="70" customFormat="1" ht="30" customHeight="1">
      <c r="A1270" s="209"/>
      <c r="B1270" s="210"/>
      <c r="C1270" s="210"/>
      <c r="D1270" s="158"/>
      <c r="E1270" s="337"/>
      <c r="F1270" s="337"/>
      <c r="G1270" s="337"/>
      <c r="H1270" s="210"/>
      <c r="I1270" s="338"/>
      <c r="K1270" s="339"/>
    </row>
    <row r="1271" spans="1:11" s="70" customFormat="1" ht="30" customHeight="1">
      <c r="A1271" s="209"/>
      <c r="B1271" s="210"/>
      <c r="C1271" s="210"/>
      <c r="D1271" s="158"/>
      <c r="E1271" s="337"/>
      <c r="F1271" s="337"/>
      <c r="G1271" s="337"/>
      <c r="H1271" s="210"/>
      <c r="I1271" s="338"/>
      <c r="K1271" s="339"/>
    </row>
    <row r="1272" spans="1:11" s="70" customFormat="1" ht="30" customHeight="1">
      <c r="A1272" s="209"/>
      <c r="B1272" s="210"/>
      <c r="C1272" s="210"/>
      <c r="D1272" s="158"/>
      <c r="E1272" s="337"/>
      <c r="F1272" s="337"/>
      <c r="G1272" s="337"/>
      <c r="H1272" s="210"/>
      <c r="I1272" s="338"/>
      <c r="K1272" s="339"/>
    </row>
    <row r="1273" spans="1:11" s="70" customFormat="1" ht="30" customHeight="1">
      <c r="A1273" s="209"/>
      <c r="B1273" s="210"/>
      <c r="C1273" s="210"/>
      <c r="D1273" s="158"/>
      <c r="E1273" s="337"/>
      <c r="F1273" s="337"/>
      <c r="G1273" s="337"/>
      <c r="H1273" s="210"/>
      <c r="I1273" s="338"/>
      <c r="K1273" s="339"/>
    </row>
    <row r="1274" spans="1:11" s="70" customFormat="1" ht="30" customHeight="1">
      <c r="A1274" s="209"/>
      <c r="B1274" s="210"/>
      <c r="C1274" s="210"/>
      <c r="D1274" s="158"/>
      <c r="E1274" s="337"/>
      <c r="F1274" s="337"/>
      <c r="G1274" s="337"/>
      <c r="H1274" s="210"/>
      <c r="I1274" s="338"/>
      <c r="K1274" s="339"/>
    </row>
    <row r="1275" spans="1:11" s="70" customFormat="1" ht="30" customHeight="1">
      <c r="A1275" s="209"/>
      <c r="B1275" s="210"/>
      <c r="C1275" s="210"/>
      <c r="D1275" s="158"/>
      <c r="E1275" s="337"/>
      <c r="F1275" s="337"/>
      <c r="G1275" s="337"/>
      <c r="H1275" s="210"/>
      <c r="I1275" s="338"/>
      <c r="K1275" s="339"/>
    </row>
    <row r="1276" spans="1:11" s="70" customFormat="1" ht="30" customHeight="1">
      <c r="A1276" s="209"/>
      <c r="B1276" s="210"/>
      <c r="C1276" s="210"/>
      <c r="D1276" s="158"/>
      <c r="E1276" s="337"/>
      <c r="F1276" s="337"/>
      <c r="G1276" s="337"/>
      <c r="H1276" s="210"/>
      <c r="I1276" s="338"/>
      <c r="K1276" s="339"/>
    </row>
    <row r="1277" spans="1:11" s="70" customFormat="1" ht="30" customHeight="1">
      <c r="A1277" s="209"/>
      <c r="B1277" s="210"/>
      <c r="C1277" s="210"/>
      <c r="D1277" s="158"/>
      <c r="E1277" s="337"/>
      <c r="F1277" s="337"/>
      <c r="G1277" s="337"/>
      <c r="H1277" s="210"/>
      <c r="I1277" s="338"/>
      <c r="K1277" s="339"/>
    </row>
    <row r="1278" spans="1:11" s="70" customFormat="1" ht="30" customHeight="1">
      <c r="A1278" s="209"/>
      <c r="B1278" s="210"/>
      <c r="C1278" s="210"/>
      <c r="D1278" s="158"/>
      <c r="E1278" s="337"/>
      <c r="F1278" s="337"/>
      <c r="G1278" s="337"/>
      <c r="H1278" s="210"/>
      <c r="I1278" s="338"/>
      <c r="K1278" s="339"/>
    </row>
    <row r="1279" spans="1:11" s="70" customFormat="1" ht="30" customHeight="1">
      <c r="A1279" s="209"/>
      <c r="B1279" s="210"/>
      <c r="C1279" s="210"/>
      <c r="D1279" s="158"/>
      <c r="E1279" s="337"/>
      <c r="F1279" s="337"/>
      <c r="G1279" s="337"/>
      <c r="H1279" s="210"/>
      <c r="I1279" s="338"/>
      <c r="K1279" s="339"/>
    </row>
    <row r="1280" spans="1:11" s="70" customFormat="1" ht="30" customHeight="1">
      <c r="A1280" s="209"/>
      <c r="B1280" s="210"/>
      <c r="C1280" s="210"/>
      <c r="D1280" s="158"/>
      <c r="E1280" s="337"/>
      <c r="F1280" s="337"/>
      <c r="G1280" s="337"/>
      <c r="H1280" s="210"/>
      <c r="I1280" s="338"/>
      <c r="K1280" s="339"/>
    </row>
    <row r="1281" spans="1:11" s="70" customFormat="1" ht="30" customHeight="1">
      <c r="A1281" s="209"/>
      <c r="B1281" s="210"/>
      <c r="C1281" s="210"/>
      <c r="D1281" s="158"/>
      <c r="E1281" s="337"/>
      <c r="F1281" s="337"/>
      <c r="G1281" s="337"/>
      <c r="H1281" s="210"/>
      <c r="I1281" s="338"/>
      <c r="K1281" s="339"/>
    </row>
    <row r="1282" spans="1:11" s="70" customFormat="1" ht="30" customHeight="1">
      <c r="A1282" s="209"/>
      <c r="B1282" s="210"/>
      <c r="C1282" s="210"/>
      <c r="D1282" s="158"/>
      <c r="E1282" s="337"/>
      <c r="F1282" s="337"/>
      <c r="G1282" s="337"/>
      <c r="H1282" s="210"/>
      <c r="I1282" s="338"/>
      <c r="K1282" s="339"/>
    </row>
    <row r="1283" spans="1:11" s="70" customFormat="1" ht="30" customHeight="1">
      <c r="A1283" s="209"/>
      <c r="B1283" s="210"/>
      <c r="C1283" s="210"/>
      <c r="D1283" s="158"/>
      <c r="E1283" s="337"/>
      <c r="F1283" s="337"/>
      <c r="G1283" s="337"/>
      <c r="H1283" s="210"/>
      <c r="I1283" s="338"/>
      <c r="K1283" s="339"/>
    </row>
    <row r="1284" spans="1:11" s="70" customFormat="1" ht="30" customHeight="1">
      <c r="A1284" s="209"/>
      <c r="B1284" s="210"/>
      <c r="C1284" s="210"/>
      <c r="D1284" s="158"/>
      <c r="E1284" s="337"/>
      <c r="F1284" s="337"/>
      <c r="G1284" s="337"/>
      <c r="H1284" s="210"/>
      <c r="I1284" s="338"/>
      <c r="K1284" s="339"/>
    </row>
    <row r="1285" spans="1:11" s="70" customFormat="1" ht="30" customHeight="1">
      <c r="A1285" s="209"/>
      <c r="B1285" s="210"/>
      <c r="C1285" s="210"/>
      <c r="D1285" s="158"/>
      <c r="E1285" s="337"/>
      <c r="F1285" s="337"/>
      <c r="G1285" s="337"/>
      <c r="H1285" s="210"/>
      <c r="I1285" s="338"/>
      <c r="K1285" s="339"/>
    </row>
    <row r="1286" spans="1:11" s="70" customFormat="1" ht="30" customHeight="1">
      <c r="A1286" s="209"/>
      <c r="B1286" s="210"/>
      <c r="C1286" s="210"/>
      <c r="D1286" s="158"/>
      <c r="E1286" s="337"/>
      <c r="F1286" s="337"/>
      <c r="G1286" s="337"/>
      <c r="H1286" s="210"/>
      <c r="I1286" s="338"/>
      <c r="K1286" s="339"/>
    </row>
    <row r="1287" spans="1:11" s="70" customFormat="1" ht="30" customHeight="1">
      <c r="A1287" s="209"/>
      <c r="B1287" s="210"/>
      <c r="C1287" s="210"/>
      <c r="D1287" s="158"/>
      <c r="E1287" s="337"/>
      <c r="F1287" s="337"/>
      <c r="G1287" s="337"/>
      <c r="H1287" s="210"/>
      <c r="I1287" s="338"/>
      <c r="K1287" s="339"/>
    </row>
    <row r="1288" spans="1:11" s="70" customFormat="1" ht="30" customHeight="1">
      <c r="A1288" s="209"/>
      <c r="B1288" s="210"/>
      <c r="C1288" s="210"/>
      <c r="D1288" s="158"/>
      <c r="E1288" s="337"/>
      <c r="F1288" s="337"/>
      <c r="G1288" s="337"/>
      <c r="H1288" s="210"/>
      <c r="I1288" s="338"/>
      <c r="K1288" s="339"/>
    </row>
    <row r="1289" spans="1:11" s="70" customFormat="1" ht="30" customHeight="1">
      <c r="A1289" s="209"/>
      <c r="B1289" s="210"/>
      <c r="C1289" s="210"/>
      <c r="D1289" s="158"/>
      <c r="E1289" s="337"/>
      <c r="F1289" s="337"/>
      <c r="G1289" s="337"/>
      <c r="H1289" s="210"/>
      <c r="I1289" s="338"/>
      <c r="K1289" s="339"/>
    </row>
    <row r="1290" spans="1:11" s="70" customFormat="1" ht="30" customHeight="1">
      <c r="A1290" s="209"/>
      <c r="B1290" s="210"/>
      <c r="C1290" s="210"/>
      <c r="D1290" s="158"/>
      <c r="E1290" s="337"/>
      <c r="F1290" s="337"/>
      <c r="G1290" s="337"/>
      <c r="H1290" s="210"/>
      <c r="I1290" s="338"/>
      <c r="K1290" s="339"/>
    </row>
    <row r="1291" spans="1:11" s="70" customFormat="1" ht="30" customHeight="1">
      <c r="A1291" s="209"/>
      <c r="B1291" s="210"/>
      <c r="C1291" s="210"/>
      <c r="D1291" s="158"/>
      <c r="E1291" s="337"/>
      <c r="F1291" s="337"/>
      <c r="G1291" s="337"/>
      <c r="H1291" s="210"/>
      <c r="I1291" s="338"/>
      <c r="K1291" s="339"/>
    </row>
    <row r="1292" spans="1:11" s="70" customFormat="1" ht="30" customHeight="1">
      <c r="A1292" s="209"/>
      <c r="B1292" s="210"/>
      <c r="C1292" s="210"/>
      <c r="D1292" s="158"/>
      <c r="E1292" s="337"/>
      <c r="F1292" s="337"/>
      <c r="G1292" s="337"/>
      <c r="H1292" s="210"/>
      <c r="I1292" s="338"/>
      <c r="K1292" s="339"/>
    </row>
    <row r="1293" spans="1:11" s="70" customFormat="1" ht="30" customHeight="1">
      <c r="A1293" s="209"/>
      <c r="B1293" s="210"/>
      <c r="C1293" s="210"/>
      <c r="D1293" s="158"/>
      <c r="E1293" s="337"/>
      <c r="F1293" s="337"/>
      <c r="G1293" s="337"/>
      <c r="H1293" s="210"/>
      <c r="I1293" s="338"/>
      <c r="K1293" s="339"/>
    </row>
    <row r="1294" spans="1:11" s="70" customFormat="1" ht="30" customHeight="1">
      <c r="A1294" s="209"/>
      <c r="B1294" s="210"/>
      <c r="C1294" s="210"/>
      <c r="D1294" s="158"/>
      <c r="E1294" s="337"/>
      <c r="F1294" s="337"/>
      <c r="G1294" s="337"/>
      <c r="H1294" s="210"/>
      <c r="I1294" s="338"/>
      <c r="K1294" s="339"/>
    </row>
    <row r="1295" spans="1:11" s="70" customFormat="1" ht="30" customHeight="1">
      <c r="A1295" s="209"/>
      <c r="B1295" s="210"/>
      <c r="C1295" s="210"/>
      <c r="D1295" s="158"/>
      <c r="E1295" s="337"/>
      <c r="F1295" s="337"/>
      <c r="G1295" s="337"/>
      <c r="H1295" s="210"/>
      <c r="I1295" s="338"/>
      <c r="K1295" s="339"/>
    </row>
    <row r="1296" spans="1:11" s="70" customFormat="1" ht="30" customHeight="1">
      <c r="A1296" s="209"/>
      <c r="B1296" s="210"/>
      <c r="C1296" s="210"/>
      <c r="D1296" s="158"/>
      <c r="E1296" s="337"/>
      <c r="F1296" s="337"/>
      <c r="G1296" s="337"/>
      <c r="H1296" s="210"/>
      <c r="I1296" s="338"/>
      <c r="K1296" s="339"/>
    </row>
    <row r="1297" spans="1:11" s="70" customFormat="1" ht="30" customHeight="1">
      <c r="A1297" s="209"/>
      <c r="B1297" s="210"/>
      <c r="C1297" s="210"/>
      <c r="D1297" s="158"/>
      <c r="E1297" s="337"/>
      <c r="F1297" s="337"/>
      <c r="G1297" s="337"/>
      <c r="H1297" s="210"/>
      <c r="I1297" s="338"/>
      <c r="K1297" s="339"/>
    </row>
    <row r="1298" spans="1:11" s="70" customFormat="1" ht="30" customHeight="1">
      <c r="A1298" s="209"/>
      <c r="B1298" s="210"/>
      <c r="C1298" s="210"/>
      <c r="D1298" s="158"/>
      <c r="E1298" s="337"/>
      <c r="F1298" s="337"/>
      <c r="G1298" s="337"/>
      <c r="H1298" s="210"/>
      <c r="I1298" s="338"/>
      <c r="K1298" s="339"/>
    </row>
    <row r="1299" spans="1:11" s="70" customFormat="1" ht="30" customHeight="1">
      <c r="A1299" s="209"/>
      <c r="B1299" s="210"/>
      <c r="C1299" s="210"/>
      <c r="D1299" s="158"/>
      <c r="E1299" s="337"/>
      <c r="F1299" s="337"/>
      <c r="G1299" s="337"/>
      <c r="H1299" s="210"/>
      <c r="I1299" s="338"/>
      <c r="K1299" s="339"/>
    </row>
    <row r="1300" spans="1:11" s="70" customFormat="1" ht="30" customHeight="1">
      <c r="A1300" s="209"/>
      <c r="B1300" s="210"/>
      <c r="C1300" s="210"/>
      <c r="D1300" s="158"/>
      <c r="E1300" s="337"/>
      <c r="F1300" s="337"/>
      <c r="G1300" s="337"/>
      <c r="H1300" s="210"/>
      <c r="I1300" s="338"/>
      <c r="K1300" s="339"/>
    </row>
    <row r="1301" spans="1:11" s="70" customFormat="1" ht="30" customHeight="1">
      <c r="A1301" s="209"/>
      <c r="B1301" s="210"/>
      <c r="C1301" s="210"/>
      <c r="D1301" s="158"/>
      <c r="E1301" s="337"/>
      <c r="F1301" s="337"/>
      <c r="G1301" s="337"/>
      <c r="H1301" s="210"/>
      <c r="I1301" s="338"/>
      <c r="K1301" s="339"/>
    </row>
    <row r="1302" spans="1:11" s="70" customFormat="1" ht="30" customHeight="1">
      <c r="A1302" s="209"/>
      <c r="B1302" s="210"/>
      <c r="C1302" s="210"/>
      <c r="D1302" s="158"/>
      <c r="E1302" s="337"/>
      <c r="F1302" s="337"/>
      <c r="G1302" s="337"/>
      <c r="H1302" s="210"/>
      <c r="I1302" s="338"/>
      <c r="K1302" s="339"/>
    </row>
    <row r="1303" spans="1:11" s="70" customFormat="1" ht="30" customHeight="1">
      <c r="A1303" s="209"/>
      <c r="B1303" s="210"/>
      <c r="C1303" s="210"/>
      <c r="D1303" s="158"/>
      <c r="E1303" s="337"/>
      <c r="F1303" s="337"/>
      <c r="G1303" s="337"/>
      <c r="H1303" s="210"/>
      <c r="I1303" s="338"/>
      <c r="K1303" s="339"/>
    </row>
    <row r="1304" spans="1:11" s="70" customFormat="1" ht="30" customHeight="1">
      <c r="A1304" s="209"/>
      <c r="B1304" s="210"/>
      <c r="C1304" s="210"/>
      <c r="D1304" s="158"/>
      <c r="E1304" s="337"/>
      <c r="F1304" s="337"/>
      <c r="G1304" s="337"/>
      <c r="H1304" s="210"/>
      <c r="I1304" s="338"/>
      <c r="K1304" s="339"/>
    </row>
    <row r="1305" spans="1:11" s="70" customFormat="1" ht="30" customHeight="1">
      <c r="A1305" s="209"/>
      <c r="B1305" s="210"/>
      <c r="C1305" s="210"/>
      <c r="D1305" s="158"/>
      <c r="E1305" s="337"/>
      <c r="F1305" s="337"/>
      <c r="G1305" s="337"/>
      <c r="H1305" s="210"/>
      <c r="I1305" s="338"/>
      <c r="K1305" s="339"/>
    </row>
    <row r="1306" spans="1:11" s="70" customFormat="1" ht="30" customHeight="1">
      <c r="A1306" s="209"/>
      <c r="B1306" s="210"/>
      <c r="C1306" s="210"/>
      <c r="D1306" s="158"/>
      <c r="E1306" s="337"/>
      <c r="F1306" s="337"/>
      <c r="G1306" s="337"/>
      <c r="H1306" s="210"/>
      <c r="I1306" s="338"/>
      <c r="K1306" s="339"/>
    </row>
    <row r="1307" spans="1:11" s="70" customFormat="1" ht="30" customHeight="1">
      <c r="A1307" s="209"/>
      <c r="B1307" s="210"/>
      <c r="C1307" s="210"/>
      <c r="D1307" s="158"/>
      <c r="E1307" s="337"/>
      <c r="F1307" s="337"/>
      <c r="G1307" s="337"/>
      <c r="H1307" s="210"/>
      <c r="I1307" s="338"/>
      <c r="K1307" s="339"/>
    </row>
    <row r="1308" spans="1:11" s="70" customFormat="1" ht="30" customHeight="1">
      <c r="A1308" s="209"/>
      <c r="B1308" s="210"/>
      <c r="C1308" s="210"/>
      <c r="D1308" s="158"/>
      <c r="E1308" s="337"/>
      <c r="F1308" s="337"/>
      <c r="G1308" s="337"/>
      <c r="H1308" s="210"/>
      <c r="I1308" s="338"/>
      <c r="K1308" s="339"/>
    </row>
    <row r="1309" spans="1:11" s="70" customFormat="1" ht="30" customHeight="1">
      <c r="A1309" s="209"/>
      <c r="B1309" s="210"/>
      <c r="C1309" s="210"/>
      <c r="D1309" s="158"/>
      <c r="E1309" s="337"/>
      <c r="F1309" s="337"/>
      <c r="G1309" s="337"/>
      <c r="H1309" s="210"/>
      <c r="I1309" s="338"/>
      <c r="K1309" s="339"/>
    </row>
    <row r="1310" spans="1:11" s="70" customFormat="1" ht="30" customHeight="1">
      <c r="A1310" s="209"/>
      <c r="B1310" s="210"/>
      <c r="C1310" s="210"/>
      <c r="D1310" s="158"/>
      <c r="E1310" s="337"/>
      <c r="F1310" s="337"/>
      <c r="G1310" s="337"/>
      <c r="H1310" s="210"/>
      <c r="I1310" s="338"/>
      <c r="K1310" s="339"/>
    </row>
    <row r="1311" spans="1:11" s="70" customFormat="1" ht="30" customHeight="1">
      <c r="A1311" s="209"/>
      <c r="B1311" s="210"/>
      <c r="C1311" s="210"/>
      <c r="D1311" s="158"/>
      <c r="E1311" s="337"/>
      <c r="F1311" s="337"/>
      <c r="G1311" s="337"/>
      <c r="H1311" s="210"/>
      <c r="I1311" s="338"/>
      <c r="K1311" s="339"/>
    </row>
    <row r="1312" spans="1:11" s="70" customFormat="1" ht="30" customHeight="1">
      <c r="A1312" s="209"/>
      <c r="B1312" s="210"/>
      <c r="C1312" s="210"/>
      <c r="D1312" s="158"/>
      <c r="E1312" s="337"/>
      <c r="F1312" s="337"/>
      <c r="G1312" s="337"/>
      <c r="H1312" s="210"/>
      <c r="I1312" s="338"/>
      <c r="K1312" s="339"/>
    </row>
    <row r="1313" spans="1:11" s="70" customFormat="1" ht="30" customHeight="1">
      <c r="A1313" s="209"/>
      <c r="B1313" s="210"/>
      <c r="C1313" s="210"/>
      <c r="D1313" s="158"/>
      <c r="E1313" s="337"/>
      <c r="F1313" s="337"/>
      <c r="G1313" s="337"/>
      <c r="H1313" s="210"/>
      <c r="I1313" s="338"/>
      <c r="K1313" s="339"/>
    </row>
    <row r="1314" spans="1:11" s="70" customFormat="1" ht="30" customHeight="1">
      <c r="A1314" s="209"/>
      <c r="B1314" s="210"/>
      <c r="C1314" s="210"/>
      <c r="D1314" s="158"/>
      <c r="E1314" s="337"/>
      <c r="F1314" s="337"/>
      <c r="G1314" s="337"/>
      <c r="H1314" s="210"/>
      <c r="I1314" s="338"/>
      <c r="K1314" s="339"/>
    </row>
    <row r="1315" spans="1:11" s="70" customFormat="1" ht="30" customHeight="1">
      <c r="A1315" s="209"/>
      <c r="B1315" s="210"/>
      <c r="C1315" s="210"/>
      <c r="D1315" s="158"/>
      <c r="E1315" s="337"/>
      <c r="F1315" s="337"/>
      <c r="G1315" s="337"/>
      <c r="H1315" s="210"/>
      <c r="I1315" s="338"/>
      <c r="K1315" s="339"/>
    </row>
    <row r="1316" spans="1:11" s="70" customFormat="1" ht="30" customHeight="1">
      <c r="A1316" s="209"/>
      <c r="B1316" s="210"/>
      <c r="C1316" s="210"/>
      <c r="D1316" s="158"/>
      <c r="E1316" s="337"/>
      <c r="F1316" s="337"/>
      <c r="G1316" s="337"/>
      <c r="H1316" s="210"/>
      <c r="I1316" s="338"/>
      <c r="K1316" s="339"/>
    </row>
    <row r="1317" spans="1:11" s="70" customFormat="1" ht="30" customHeight="1">
      <c r="A1317" s="209"/>
      <c r="B1317" s="210"/>
      <c r="C1317" s="210"/>
      <c r="D1317" s="158"/>
      <c r="E1317" s="337"/>
      <c r="F1317" s="337"/>
      <c r="G1317" s="337"/>
      <c r="H1317" s="210"/>
      <c r="I1317" s="338"/>
      <c r="K1317" s="339"/>
    </row>
    <row r="1318" spans="1:11" s="70" customFormat="1" ht="30" customHeight="1">
      <c r="A1318" s="209"/>
      <c r="B1318" s="210"/>
      <c r="C1318" s="210"/>
      <c r="D1318" s="158"/>
      <c r="E1318" s="337"/>
      <c r="F1318" s="337"/>
      <c r="G1318" s="337"/>
      <c r="H1318" s="210"/>
      <c r="I1318" s="338"/>
      <c r="K1318" s="339"/>
    </row>
    <row r="1319" spans="1:11" s="70" customFormat="1" ht="30" customHeight="1">
      <c r="A1319" s="209"/>
      <c r="B1319" s="210"/>
      <c r="C1319" s="210"/>
      <c r="D1319" s="158"/>
      <c r="E1319" s="337"/>
      <c r="F1319" s="337"/>
      <c r="G1319" s="337"/>
      <c r="H1319" s="210"/>
      <c r="I1319" s="338"/>
      <c r="K1319" s="339"/>
    </row>
    <row r="1320" spans="1:11" s="70" customFormat="1" ht="30" customHeight="1">
      <c r="A1320" s="209"/>
      <c r="B1320" s="210"/>
      <c r="C1320" s="210"/>
      <c r="D1320" s="158"/>
      <c r="E1320" s="337"/>
      <c r="F1320" s="337"/>
      <c r="G1320" s="337"/>
      <c r="H1320" s="210"/>
      <c r="I1320" s="338"/>
      <c r="K1320" s="339"/>
    </row>
    <row r="1321" spans="1:11" s="70" customFormat="1" ht="30" customHeight="1">
      <c r="A1321" s="209"/>
      <c r="B1321" s="210"/>
      <c r="C1321" s="210"/>
      <c r="D1321" s="158"/>
      <c r="E1321" s="337"/>
      <c r="F1321" s="337"/>
      <c r="G1321" s="337"/>
      <c r="H1321" s="210"/>
      <c r="I1321" s="338"/>
      <c r="K1321" s="339"/>
    </row>
    <row r="1322" spans="1:11" s="70" customFormat="1" ht="30" customHeight="1">
      <c r="A1322" s="209"/>
      <c r="B1322" s="210"/>
      <c r="C1322" s="210"/>
      <c r="D1322" s="158"/>
      <c r="E1322" s="337"/>
      <c r="F1322" s="337"/>
      <c r="G1322" s="337"/>
      <c r="H1322" s="210"/>
      <c r="I1322" s="338"/>
      <c r="K1322" s="339"/>
    </row>
    <row r="1323" spans="1:11" s="70" customFormat="1" ht="30" customHeight="1">
      <c r="A1323" s="209"/>
      <c r="B1323" s="210"/>
      <c r="C1323" s="210"/>
      <c r="D1323" s="158"/>
      <c r="E1323" s="337"/>
      <c r="F1323" s="337"/>
      <c r="G1323" s="337"/>
      <c r="H1323" s="210"/>
      <c r="I1323" s="338"/>
      <c r="K1323" s="339"/>
    </row>
    <row r="1324" spans="1:11" s="70" customFormat="1" ht="30" customHeight="1">
      <c r="A1324" s="209"/>
      <c r="B1324" s="210"/>
      <c r="C1324" s="210"/>
      <c r="D1324" s="158"/>
      <c r="E1324" s="337"/>
      <c r="F1324" s="337"/>
      <c r="G1324" s="337"/>
      <c r="H1324" s="210"/>
      <c r="I1324" s="338"/>
      <c r="K1324" s="339"/>
    </row>
    <row r="1325" spans="1:9" ht="30" customHeight="1">
      <c r="A1325" s="209"/>
      <c r="B1325" s="210"/>
      <c r="C1325" s="210"/>
      <c r="D1325" s="158"/>
      <c r="E1325" s="337"/>
      <c r="F1325" s="337"/>
      <c r="G1325" s="337"/>
      <c r="H1325" s="210"/>
      <c r="I1325" s="338"/>
    </row>
    <row r="1326" spans="1:9" ht="30" customHeight="1">
      <c r="A1326" s="209"/>
      <c r="B1326" s="210"/>
      <c r="C1326" s="210"/>
      <c r="D1326" s="158"/>
      <c r="E1326" s="337"/>
      <c r="F1326" s="337"/>
      <c r="G1326" s="337"/>
      <c r="H1326" s="210"/>
      <c r="I1326" s="338"/>
    </row>
    <row r="1327" spans="1:9" ht="30" customHeight="1">
      <c r="A1327" s="209"/>
      <c r="B1327" s="210"/>
      <c r="C1327" s="210"/>
      <c r="D1327" s="158"/>
      <c r="E1327" s="337"/>
      <c r="F1327" s="337"/>
      <c r="G1327" s="337"/>
      <c r="H1327" s="210"/>
      <c r="I1327" s="338"/>
    </row>
    <row r="1328" spans="1:9" ht="30" customHeight="1">
      <c r="A1328" s="209"/>
      <c r="B1328" s="210"/>
      <c r="C1328" s="210"/>
      <c r="D1328" s="158"/>
      <c r="E1328" s="337"/>
      <c r="F1328" s="337"/>
      <c r="G1328" s="337"/>
      <c r="H1328" s="210"/>
      <c r="I1328" s="338"/>
    </row>
    <row r="1329" spans="1:9" ht="30" customHeight="1">
      <c r="A1329" s="209"/>
      <c r="B1329" s="210"/>
      <c r="C1329" s="210"/>
      <c r="D1329" s="158"/>
      <c r="E1329" s="337"/>
      <c r="F1329" s="337"/>
      <c r="G1329" s="337"/>
      <c r="H1329" s="210"/>
      <c r="I1329" s="338"/>
    </row>
    <row r="1330" spans="1:9" ht="30" customHeight="1">
      <c r="A1330" s="209"/>
      <c r="B1330" s="210"/>
      <c r="C1330" s="210"/>
      <c r="D1330" s="158"/>
      <c r="E1330" s="337"/>
      <c r="F1330" s="337"/>
      <c r="G1330" s="337"/>
      <c r="H1330" s="210"/>
      <c r="I1330" s="338"/>
    </row>
    <row r="1331" spans="1:9" ht="30" customHeight="1">
      <c r="A1331" s="209"/>
      <c r="B1331" s="210"/>
      <c r="C1331" s="210"/>
      <c r="D1331" s="158"/>
      <c r="E1331" s="337"/>
      <c r="F1331" s="337"/>
      <c r="G1331" s="337"/>
      <c r="H1331" s="210"/>
      <c r="I1331" s="338"/>
    </row>
    <row r="1332" spans="1:9" ht="30" customHeight="1">
      <c r="A1332" s="209"/>
      <c r="B1332" s="210"/>
      <c r="C1332" s="210"/>
      <c r="D1332" s="158"/>
      <c r="E1332" s="337"/>
      <c r="F1332" s="337"/>
      <c r="G1332" s="337"/>
      <c r="H1332" s="210"/>
      <c r="I1332" s="338"/>
    </row>
    <row r="1333" spans="1:9" ht="30" customHeight="1">
      <c r="A1333" s="209"/>
      <c r="B1333" s="210"/>
      <c r="C1333" s="210"/>
      <c r="D1333" s="158"/>
      <c r="E1333" s="337"/>
      <c r="F1333" s="337"/>
      <c r="G1333" s="337"/>
      <c r="H1333" s="210"/>
      <c r="I1333" s="338"/>
    </row>
    <row r="1334" spans="1:9" ht="30" customHeight="1">
      <c r="A1334" s="209"/>
      <c r="B1334" s="210"/>
      <c r="C1334" s="210"/>
      <c r="D1334" s="158"/>
      <c r="E1334" s="337"/>
      <c r="F1334" s="337"/>
      <c r="G1334" s="337"/>
      <c r="H1334" s="210"/>
      <c r="I1334" s="338"/>
    </row>
    <row r="1335" spans="1:9" ht="30" customHeight="1">
      <c r="A1335" s="209"/>
      <c r="B1335" s="210"/>
      <c r="C1335" s="210"/>
      <c r="D1335" s="158"/>
      <c r="E1335" s="337"/>
      <c r="F1335" s="337"/>
      <c r="G1335" s="337"/>
      <c r="H1335" s="210"/>
      <c r="I1335" s="338"/>
    </row>
    <row r="1336" spans="1:9" ht="30" customHeight="1">
      <c r="A1336" s="209"/>
      <c r="B1336" s="210"/>
      <c r="C1336" s="210"/>
      <c r="D1336" s="158"/>
      <c r="E1336" s="337"/>
      <c r="F1336" s="337"/>
      <c r="G1336" s="337"/>
      <c r="H1336" s="210"/>
      <c r="I1336" s="338"/>
    </row>
    <row r="1337" spans="1:9" ht="30" customHeight="1">
      <c r="A1337" s="209"/>
      <c r="B1337" s="210"/>
      <c r="C1337" s="210"/>
      <c r="D1337" s="158"/>
      <c r="E1337" s="337"/>
      <c r="F1337" s="337"/>
      <c r="G1337" s="337"/>
      <c r="H1337" s="210"/>
      <c r="I1337" s="338"/>
    </row>
    <row r="1338" spans="1:9" ht="30" customHeight="1">
      <c r="A1338" s="209"/>
      <c r="B1338" s="210"/>
      <c r="C1338" s="210"/>
      <c r="D1338" s="158"/>
      <c r="E1338" s="337"/>
      <c r="F1338" s="337"/>
      <c r="G1338" s="337"/>
      <c r="H1338" s="210"/>
      <c r="I1338" s="338"/>
    </row>
    <row r="1339" spans="1:9" ht="30" customHeight="1">
      <c r="A1339" s="209"/>
      <c r="B1339" s="210"/>
      <c r="C1339" s="210"/>
      <c r="D1339" s="158"/>
      <c r="E1339" s="337"/>
      <c r="F1339" s="337"/>
      <c r="G1339" s="337"/>
      <c r="H1339" s="210"/>
      <c r="I1339" s="338"/>
    </row>
    <row r="1340" spans="1:9" ht="30" customHeight="1">
      <c r="A1340" s="209"/>
      <c r="B1340" s="210"/>
      <c r="C1340" s="210"/>
      <c r="D1340" s="158"/>
      <c r="E1340" s="337"/>
      <c r="F1340" s="337"/>
      <c r="G1340" s="337"/>
      <c r="H1340" s="210"/>
      <c r="I1340" s="338"/>
    </row>
    <row r="1341" spans="1:9" ht="30" customHeight="1">
      <c r="A1341" s="209"/>
      <c r="B1341" s="210"/>
      <c r="C1341" s="210"/>
      <c r="D1341" s="158"/>
      <c r="E1341" s="337"/>
      <c r="F1341" s="337"/>
      <c r="G1341" s="337"/>
      <c r="H1341" s="210"/>
      <c r="I1341" s="338"/>
    </row>
    <row r="1342" spans="1:9" ht="30" customHeight="1">
      <c r="A1342" s="209"/>
      <c r="B1342" s="210"/>
      <c r="C1342" s="210"/>
      <c r="D1342" s="158"/>
      <c r="E1342" s="337"/>
      <c r="F1342" s="337"/>
      <c r="G1342" s="337"/>
      <c r="H1342" s="210"/>
      <c r="I1342" s="338"/>
    </row>
    <row r="1343" spans="1:9" ht="30" customHeight="1">
      <c r="A1343" s="209"/>
      <c r="B1343" s="210"/>
      <c r="C1343" s="210"/>
      <c r="D1343" s="158"/>
      <c r="E1343" s="337"/>
      <c r="F1343" s="337"/>
      <c r="G1343" s="337"/>
      <c r="H1343" s="210"/>
      <c r="I1343" s="338"/>
    </row>
    <row r="1344" spans="1:9" ht="30" customHeight="1">
      <c r="A1344" s="209"/>
      <c r="B1344" s="210"/>
      <c r="C1344" s="210"/>
      <c r="D1344" s="158"/>
      <c r="E1344" s="337"/>
      <c r="F1344" s="337"/>
      <c r="G1344" s="337"/>
      <c r="H1344" s="210"/>
      <c r="I1344" s="338"/>
    </row>
    <row r="1345" spans="1:9" ht="30" customHeight="1">
      <c r="A1345" s="209"/>
      <c r="B1345" s="210"/>
      <c r="C1345" s="210"/>
      <c r="D1345" s="158"/>
      <c r="E1345" s="337"/>
      <c r="F1345" s="337"/>
      <c r="G1345" s="337"/>
      <c r="H1345" s="210"/>
      <c r="I1345" s="338"/>
    </row>
    <row r="1346" spans="1:9" ht="30" customHeight="1">
      <c r="A1346" s="209"/>
      <c r="B1346" s="210"/>
      <c r="C1346" s="210"/>
      <c r="D1346" s="158"/>
      <c r="E1346" s="337"/>
      <c r="F1346" s="337"/>
      <c r="G1346" s="337"/>
      <c r="H1346" s="210"/>
      <c r="I1346" s="338"/>
    </row>
    <row r="1347" spans="1:9" ht="30" customHeight="1">
      <c r="A1347" s="209"/>
      <c r="B1347" s="210"/>
      <c r="C1347" s="210"/>
      <c r="D1347" s="158"/>
      <c r="E1347" s="337"/>
      <c r="F1347" s="337"/>
      <c r="G1347" s="337"/>
      <c r="H1347" s="210"/>
      <c r="I1347" s="338"/>
    </row>
    <row r="1348" spans="1:9" ht="30" customHeight="1">
      <c r="A1348" s="209"/>
      <c r="B1348" s="210"/>
      <c r="C1348" s="210"/>
      <c r="D1348" s="158"/>
      <c r="E1348" s="337"/>
      <c r="F1348" s="337"/>
      <c r="G1348" s="337"/>
      <c r="H1348" s="210"/>
      <c r="I1348" s="338"/>
    </row>
    <row r="1349" spans="1:9" ht="30" customHeight="1">
      <c r="A1349" s="209"/>
      <c r="B1349" s="210"/>
      <c r="C1349" s="210"/>
      <c r="D1349" s="158"/>
      <c r="E1349" s="337"/>
      <c r="F1349" s="337"/>
      <c r="G1349" s="337"/>
      <c r="H1349" s="210"/>
      <c r="I1349" s="338"/>
    </row>
    <row r="1350" spans="1:9" ht="30" customHeight="1">
      <c r="A1350" s="209"/>
      <c r="B1350" s="210"/>
      <c r="C1350" s="210"/>
      <c r="D1350" s="158"/>
      <c r="E1350" s="337"/>
      <c r="F1350" s="337"/>
      <c r="G1350" s="337"/>
      <c r="H1350" s="210"/>
      <c r="I1350" s="338"/>
    </row>
    <row r="1351" spans="1:9" ht="30" customHeight="1">
      <c r="A1351" s="209"/>
      <c r="B1351" s="210"/>
      <c r="C1351" s="210"/>
      <c r="D1351" s="158"/>
      <c r="E1351" s="337"/>
      <c r="F1351" s="337"/>
      <c r="G1351" s="337"/>
      <c r="H1351" s="210"/>
      <c r="I1351" s="338"/>
    </row>
    <row r="1352" spans="1:9" ht="30" customHeight="1">
      <c r="A1352" s="209"/>
      <c r="B1352" s="210"/>
      <c r="C1352" s="210"/>
      <c r="D1352" s="158"/>
      <c r="E1352" s="337"/>
      <c r="F1352" s="337"/>
      <c r="G1352" s="337"/>
      <c r="H1352" s="210"/>
      <c r="I1352" s="338"/>
    </row>
    <row r="1353" spans="1:9" ht="30" customHeight="1">
      <c r="A1353" s="209"/>
      <c r="B1353" s="210"/>
      <c r="C1353" s="210"/>
      <c r="D1353" s="158"/>
      <c r="E1353" s="337"/>
      <c r="F1353" s="337"/>
      <c r="G1353" s="337"/>
      <c r="H1353" s="210"/>
      <c r="I1353" s="338"/>
    </row>
    <row r="1354" spans="1:9" ht="30" customHeight="1">
      <c r="A1354" s="209"/>
      <c r="B1354" s="210"/>
      <c r="C1354" s="210"/>
      <c r="D1354" s="158"/>
      <c r="E1354" s="337"/>
      <c r="F1354" s="337"/>
      <c r="G1354" s="337"/>
      <c r="H1354" s="210"/>
      <c r="I1354" s="338"/>
    </row>
    <row r="1355" spans="1:9" ht="30" customHeight="1">
      <c r="A1355" s="209"/>
      <c r="B1355" s="210"/>
      <c r="C1355" s="210"/>
      <c r="D1355" s="158"/>
      <c r="E1355" s="337"/>
      <c r="F1355" s="337"/>
      <c r="G1355" s="337"/>
      <c r="H1355" s="210"/>
      <c r="I1355" s="338"/>
    </row>
    <row r="1356" spans="1:9" ht="30" customHeight="1">
      <c r="A1356" s="209"/>
      <c r="B1356" s="210"/>
      <c r="C1356" s="210"/>
      <c r="D1356" s="158"/>
      <c r="E1356" s="337"/>
      <c r="F1356" s="337"/>
      <c r="G1356" s="337"/>
      <c r="H1356" s="210"/>
      <c r="I1356" s="338"/>
    </row>
    <row r="1357" spans="1:9" ht="30" customHeight="1">
      <c r="A1357" s="209"/>
      <c r="B1357" s="210"/>
      <c r="C1357" s="210"/>
      <c r="D1357" s="158"/>
      <c r="E1357" s="337"/>
      <c r="F1357" s="337"/>
      <c r="G1357" s="337"/>
      <c r="H1357" s="210"/>
      <c r="I1357" s="338"/>
    </row>
    <row r="1358" spans="1:9" ht="30" customHeight="1">
      <c r="A1358" s="209"/>
      <c r="B1358" s="210"/>
      <c r="C1358" s="210"/>
      <c r="D1358" s="158"/>
      <c r="E1358" s="337"/>
      <c r="F1358" s="337"/>
      <c r="G1358" s="337"/>
      <c r="H1358" s="210"/>
      <c r="I1358" s="338"/>
    </row>
    <row r="1359" spans="1:9" ht="30" customHeight="1">
      <c r="A1359" s="209"/>
      <c r="B1359" s="210"/>
      <c r="C1359" s="210"/>
      <c r="D1359" s="158"/>
      <c r="E1359" s="337"/>
      <c r="F1359" s="337"/>
      <c r="G1359" s="337"/>
      <c r="H1359" s="210"/>
      <c r="I1359" s="338"/>
    </row>
    <row r="1360" spans="1:9" ht="30" customHeight="1">
      <c r="A1360" s="209"/>
      <c r="B1360" s="210"/>
      <c r="C1360" s="210"/>
      <c r="D1360" s="158"/>
      <c r="E1360" s="337"/>
      <c r="F1360" s="337"/>
      <c r="G1360" s="337"/>
      <c r="H1360" s="210"/>
      <c r="I1360" s="338"/>
    </row>
    <row r="1361" spans="1:9" ht="30" customHeight="1">
      <c r="A1361" s="209"/>
      <c r="B1361" s="210"/>
      <c r="C1361" s="210"/>
      <c r="D1361" s="158"/>
      <c r="E1361" s="337"/>
      <c r="F1361" s="337"/>
      <c r="G1361" s="337"/>
      <c r="H1361" s="210"/>
      <c r="I1361" s="338"/>
    </row>
    <row r="1362" spans="1:9" ht="30" customHeight="1">
      <c r="A1362" s="209"/>
      <c r="B1362" s="210"/>
      <c r="C1362" s="210"/>
      <c r="D1362" s="158"/>
      <c r="E1362" s="337"/>
      <c r="F1362" s="337"/>
      <c r="G1362" s="337"/>
      <c r="H1362" s="210"/>
      <c r="I1362" s="338"/>
    </row>
    <row r="1363" spans="1:9" ht="30" customHeight="1">
      <c r="A1363" s="209"/>
      <c r="B1363" s="210"/>
      <c r="C1363" s="210"/>
      <c r="D1363" s="158"/>
      <c r="E1363" s="337"/>
      <c r="F1363" s="337"/>
      <c r="G1363" s="337"/>
      <c r="H1363" s="210"/>
      <c r="I1363" s="338"/>
    </row>
    <row r="1364" spans="1:9" ht="30" customHeight="1">
      <c r="A1364" s="209"/>
      <c r="B1364" s="210"/>
      <c r="C1364" s="210"/>
      <c r="D1364" s="158"/>
      <c r="E1364" s="337"/>
      <c r="F1364" s="337"/>
      <c r="G1364" s="337"/>
      <c r="H1364" s="210"/>
      <c r="I1364" s="338"/>
    </row>
    <row r="1365" spans="1:9" ht="30" customHeight="1">
      <c r="A1365" s="209"/>
      <c r="B1365" s="210"/>
      <c r="C1365" s="210"/>
      <c r="D1365" s="158"/>
      <c r="E1365" s="337"/>
      <c r="F1365" s="337"/>
      <c r="G1365" s="337"/>
      <c r="H1365" s="210"/>
      <c r="I1365" s="338"/>
    </row>
    <row r="1366" spans="1:9" ht="30" customHeight="1">
      <c r="A1366" s="209"/>
      <c r="B1366" s="210"/>
      <c r="C1366" s="210"/>
      <c r="D1366" s="158"/>
      <c r="E1366" s="337"/>
      <c r="F1366" s="337"/>
      <c r="G1366" s="337"/>
      <c r="H1366" s="210"/>
      <c r="I1366" s="338"/>
    </row>
    <row r="1367" spans="1:9" ht="30" customHeight="1">
      <c r="A1367" s="209"/>
      <c r="B1367" s="210"/>
      <c r="C1367" s="210"/>
      <c r="D1367" s="158"/>
      <c r="E1367" s="337"/>
      <c r="F1367" s="337"/>
      <c r="G1367" s="337"/>
      <c r="H1367" s="210"/>
      <c r="I1367" s="338"/>
    </row>
    <row r="1368" spans="1:9" ht="30" customHeight="1">
      <c r="A1368" s="209"/>
      <c r="B1368" s="210"/>
      <c r="C1368" s="210"/>
      <c r="D1368" s="158"/>
      <c r="E1368" s="337"/>
      <c r="F1368" s="337"/>
      <c r="G1368" s="337"/>
      <c r="H1368" s="210"/>
      <c r="I1368" s="338"/>
    </row>
    <row r="1369" spans="1:9" ht="30" customHeight="1">
      <c r="A1369" s="209"/>
      <c r="B1369" s="210"/>
      <c r="C1369" s="210"/>
      <c r="D1369" s="158"/>
      <c r="E1369" s="337"/>
      <c r="F1369" s="337"/>
      <c r="G1369" s="337"/>
      <c r="H1369" s="210"/>
      <c r="I1369" s="338"/>
    </row>
    <row r="1370" spans="1:9" ht="30" customHeight="1">
      <c r="A1370" s="209"/>
      <c r="B1370" s="210"/>
      <c r="C1370" s="210"/>
      <c r="D1370" s="158"/>
      <c r="E1370" s="337"/>
      <c r="F1370" s="337"/>
      <c r="G1370" s="337"/>
      <c r="H1370" s="210"/>
      <c r="I1370" s="338"/>
    </row>
    <row r="1371" spans="1:9" ht="30" customHeight="1">
      <c r="A1371" s="209"/>
      <c r="B1371" s="210"/>
      <c r="C1371" s="210"/>
      <c r="D1371" s="158"/>
      <c r="E1371" s="337"/>
      <c r="F1371" s="337"/>
      <c r="G1371" s="337"/>
      <c r="H1371" s="210"/>
      <c r="I1371" s="338"/>
    </row>
    <row r="1372" spans="1:9" ht="30" customHeight="1">
      <c r="A1372" s="209"/>
      <c r="B1372" s="210"/>
      <c r="C1372" s="210"/>
      <c r="D1372" s="158"/>
      <c r="E1372" s="337"/>
      <c r="F1372" s="337"/>
      <c r="G1372" s="337"/>
      <c r="H1372" s="210"/>
      <c r="I1372" s="338"/>
    </row>
    <row r="1373" spans="1:9" ht="30" customHeight="1">
      <c r="A1373" s="209"/>
      <c r="B1373" s="210"/>
      <c r="C1373" s="210"/>
      <c r="D1373" s="158"/>
      <c r="E1373" s="337"/>
      <c r="F1373" s="337"/>
      <c r="G1373" s="337"/>
      <c r="H1373" s="210"/>
      <c r="I1373" s="338"/>
    </row>
    <row r="1374" spans="1:9" ht="30" customHeight="1">
      <c r="A1374" s="209"/>
      <c r="B1374" s="210"/>
      <c r="C1374" s="210"/>
      <c r="D1374" s="158"/>
      <c r="E1374" s="337"/>
      <c r="F1374" s="337"/>
      <c r="G1374" s="337"/>
      <c r="H1374" s="210"/>
      <c r="I1374" s="338"/>
    </row>
    <row r="1375" spans="1:9" ht="30" customHeight="1">
      <c r="A1375" s="209"/>
      <c r="B1375" s="210"/>
      <c r="C1375" s="210"/>
      <c r="D1375" s="158"/>
      <c r="E1375" s="337"/>
      <c r="F1375" s="337"/>
      <c r="G1375" s="337"/>
      <c r="H1375" s="210"/>
      <c r="I1375" s="338"/>
    </row>
    <row r="1376" spans="1:9" ht="30" customHeight="1">
      <c r="A1376" s="209"/>
      <c r="B1376" s="210"/>
      <c r="C1376" s="210"/>
      <c r="D1376" s="158"/>
      <c r="E1376" s="337"/>
      <c r="F1376" s="337"/>
      <c r="G1376" s="337"/>
      <c r="H1376" s="210"/>
      <c r="I1376" s="338"/>
    </row>
    <row r="1377" spans="1:9" ht="30" customHeight="1">
      <c r="A1377" s="209"/>
      <c r="B1377" s="210"/>
      <c r="C1377" s="210"/>
      <c r="D1377" s="158"/>
      <c r="E1377" s="337"/>
      <c r="F1377" s="337"/>
      <c r="G1377" s="337"/>
      <c r="H1377" s="210"/>
      <c r="I1377" s="338"/>
    </row>
    <row r="1378" spans="1:9" ht="30" customHeight="1">
      <c r="A1378" s="209"/>
      <c r="B1378" s="210"/>
      <c r="C1378" s="210"/>
      <c r="D1378" s="158"/>
      <c r="E1378" s="337"/>
      <c r="F1378" s="337"/>
      <c r="G1378" s="337"/>
      <c r="H1378" s="210"/>
      <c r="I1378" s="338"/>
    </row>
    <row r="1379" spans="1:9" ht="30" customHeight="1">
      <c r="A1379" s="209"/>
      <c r="B1379" s="210"/>
      <c r="C1379" s="210"/>
      <c r="D1379" s="158"/>
      <c r="E1379" s="337"/>
      <c r="F1379" s="337"/>
      <c r="G1379" s="337"/>
      <c r="H1379" s="210"/>
      <c r="I1379" s="338"/>
    </row>
    <row r="1380" spans="1:9" ht="30" customHeight="1">
      <c r="A1380" s="209"/>
      <c r="B1380" s="210"/>
      <c r="C1380" s="210"/>
      <c r="D1380" s="158"/>
      <c r="E1380" s="337"/>
      <c r="F1380" s="337"/>
      <c r="G1380" s="337"/>
      <c r="H1380" s="210"/>
      <c r="I1380" s="338"/>
    </row>
    <row r="1381" spans="1:9" ht="30" customHeight="1">
      <c r="A1381" s="209"/>
      <c r="B1381" s="210"/>
      <c r="C1381" s="210"/>
      <c r="D1381" s="158"/>
      <c r="E1381" s="337"/>
      <c r="F1381" s="337"/>
      <c r="G1381" s="337"/>
      <c r="H1381" s="210"/>
      <c r="I1381" s="338"/>
    </row>
    <row r="1382" spans="1:9" ht="30" customHeight="1">
      <c r="A1382" s="209"/>
      <c r="B1382" s="210"/>
      <c r="C1382" s="210"/>
      <c r="D1382" s="158"/>
      <c r="E1382" s="337"/>
      <c r="F1382" s="337"/>
      <c r="G1382" s="337"/>
      <c r="H1382" s="210"/>
      <c r="I1382" s="338"/>
    </row>
    <row r="1383" spans="1:9" ht="30" customHeight="1">
      <c r="A1383" s="209"/>
      <c r="B1383" s="210"/>
      <c r="C1383" s="210"/>
      <c r="D1383" s="158"/>
      <c r="E1383" s="337"/>
      <c r="F1383" s="337"/>
      <c r="G1383" s="337"/>
      <c r="H1383" s="210"/>
      <c r="I1383" s="338"/>
    </row>
    <row r="1384" spans="1:9" ht="30" customHeight="1">
      <c r="A1384" s="209"/>
      <c r="B1384" s="210"/>
      <c r="C1384" s="210"/>
      <c r="D1384" s="158"/>
      <c r="E1384" s="337"/>
      <c r="F1384" s="337"/>
      <c r="G1384" s="337"/>
      <c r="H1384" s="210"/>
      <c r="I1384" s="338"/>
    </row>
  </sheetData>
  <sheetProtection password="CF52" sheet="1"/>
  <autoFilter ref="A1:A1052"/>
  <mergeCells count="240">
    <mergeCell ref="A501:C501"/>
    <mergeCell ref="A278:C278"/>
    <mergeCell ref="C420:C421"/>
    <mergeCell ref="A1046:D1046"/>
    <mergeCell ref="A510:D510"/>
    <mergeCell ref="A492:C492"/>
    <mergeCell ref="A416:C416"/>
    <mergeCell ref="A423:C423"/>
    <mergeCell ref="A452:B452"/>
    <mergeCell ref="A408:H408"/>
    <mergeCell ref="A193:H193"/>
    <mergeCell ref="A172:C172"/>
    <mergeCell ref="A391:C391"/>
    <mergeCell ref="A290:C290"/>
    <mergeCell ref="A151:C151"/>
    <mergeCell ref="A206:C206"/>
    <mergeCell ref="A259:C259"/>
    <mergeCell ref="A298:D298"/>
    <mergeCell ref="A296:C296"/>
    <mergeCell ref="A377:C377"/>
    <mergeCell ref="A433:C433"/>
    <mergeCell ref="A203:A204"/>
    <mergeCell ref="A209:C209"/>
    <mergeCell ref="A447:H447"/>
    <mergeCell ref="A441:C441"/>
    <mergeCell ref="A422:C422"/>
    <mergeCell ref="A362:C362"/>
    <mergeCell ref="C300:C301"/>
    <mergeCell ref="B420:B421"/>
    <mergeCell ref="A300:A301"/>
    <mergeCell ref="A41:C41"/>
    <mergeCell ref="B6:B7"/>
    <mergeCell ref="A40:C40"/>
    <mergeCell ref="C6:C7"/>
    <mergeCell ref="A26:I26"/>
    <mergeCell ref="A8:C8"/>
    <mergeCell ref="D6:I6"/>
    <mergeCell ref="A27:C27"/>
    <mergeCell ref="A57:C57"/>
    <mergeCell ref="A72:C72"/>
    <mergeCell ref="A98:C98"/>
    <mergeCell ref="B203:B204"/>
    <mergeCell ref="A232:C232"/>
    <mergeCell ref="A94:C94"/>
    <mergeCell ref="A93:H93"/>
    <mergeCell ref="A188:C188"/>
    <mergeCell ref="A139:C139"/>
    <mergeCell ref="A131:C131"/>
    <mergeCell ref="C103:C104"/>
    <mergeCell ref="B103:B104"/>
    <mergeCell ref="A134:C134"/>
    <mergeCell ref="A106:C106"/>
    <mergeCell ref="A103:A104"/>
    <mergeCell ref="A100:C100"/>
    <mergeCell ref="A127:C127"/>
    <mergeCell ref="A505:C505"/>
    <mergeCell ref="A136:C136"/>
    <mergeCell ref="A199:C199"/>
    <mergeCell ref="A201:D201"/>
    <mergeCell ref="A448:C448"/>
    <mergeCell ref="A101:D101"/>
    <mergeCell ref="A221:C221"/>
    <mergeCell ref="A338:C338"/>
    <mergeCell ref="A430:C430"/>
    <mergeCell ref="A194:C194"/>
    <mergeCell ref="A730:C730"/>
    <mergeCell ref="A722:I722"/>
    <mergeCell ref="A598:C598"/>
    <mergeCell ref="A686:C686"/>
    <mergeCell ref="A723:C723"/>
    <mergeCell ref="A683:C683"/>
    <mergeCell ref="A682:C682"/>
    <mergeCell ref="A579:C579"/>
    <mergeCell ref="A649:C649"/>
    <mergeCell ref="A758:I758"/>
    <mergeCell ref="B653:B654"/>
    <mergeCell ref="A740:D740"/>
    <mergeCell ref="A745:C745"/>
    <mergeCell ref="A711:C711"/>
    <mergeCell ref="A694:C694"/>
    <mergeCell ref="A681:C681"/>
    <mergeCell ref="A612:I612"/>
    <mergeCell ref="A1041:C1041"/>
    <mergeCell ref="A861:C861"/>
    <mergeCell ref="C855:C856"/>
    <mergeCell ref="A858:C858"/>
    <mergeCell ref="A773:C773"/>
    <mergeCell ref="A948:C948"/>
    <mergeCell ref="A875:C875"/>
    <mergeCell ref="A1031:C1031"/>
    <mergeCell ref="A855:A856"/>
    <mergeCell ref="A786:C786"/>
    <mergeCell ref="M129:O129"/>
    <mergeCell ref="A980:C980"/>
    <mergeCell ref="A790:C790"/>
    <mergeCell ref="A785:I785"/>
    <mergeCell ref="A770:C770"/>
    <mergeCell ref="A656:C656"/>
    <mergeCell ref="A734:C734"/>
    <mergeCell ref="C742:C743"/>
    <mergeCell ref="A824:C824"/>
    <mergeCell ref="A869:C869"/>
    <mergeCell ref="A1043:D1043"/>
    <mergeCell ref="B855:B856"/>
    <mergeCell ref="A1036:H1036"/>
    <mergeCell ref="A994:C994"/>
    <mergeCell ref="A904:C904"/>
    <mergeCell ref="A912:C912"/>
    <mergeCell ref="A933:A934"/>
    <mergeCell ref="A1037:C1037"/>
    <mergeCell ref="B933:B934"/>
    <mergeCell ref="A981:C981"/>
    <mergeCell ref="D933:I933"/>
    <mergeCell ref="A1008:C1008"/>
    <mergeCell ref="A976:C976"/>
    <mergeCell ref="A977:C977"/>
    <mergeCell ref="A936:C936"/>
    <mergeCell ref="A947:H947"/>
    <mergeCell ref="C933:C934"/>
    <mergeCell ref="A935:C935"/>
    <mergeCell ref="A847:C847"/>
    <mergeCell ref="A838:C838"/>
    <mergeCell ref="A772:C772"/>
    <mergeCell ref="B742:B743"/>
    <mergeCell ref="A755:C755"/>
    <mergeCell ref="A851:C851"/>
    <mergeCell ref="A760:C760"/>
    <mergeCell ref="A809:C809"/>
    <mergeCell ref="A761:C761"/>
    <mergeCell ref="A823:H823"/>
    <mergeCell ref="A929:C929"/>
    <mergeCell ref="A1021:C1021"/>
    <mergeCell ref="A853:D853"/>
    <mergeCell ref="A854:I854"/>
    <mergeCell ref="D855:I855"/>
    <mergeCell ref="A993:I993"/>
    <mergeCell ref="A889:C889"/>
    <mergeCell ref="A879:C879"/>
    <mergeCell ref="A932:I932"/>
    <mergeCell ref="A1004:C1004"/>
    <mergeCell ref="A931:D931"/>
    <mergeCell ref="A442:C442"/>
    <mergeCell ref="A368:C368"/>
    <mergeCell ref="A558:C558"/>
    <mergeCell ref="A507:D507"/>
    <mergeCell ref="A962:C962"/>
    <mergeCell ref="A857:C857"/>
    <mergeCell ref="A659:C659"/>
    <mergeCell ref="A738:C738"/>
    <mergeCell ref="A742:A743"/>
    <mergeCell ref="A1045:D1045"/>
    <mergeCell ref="A138:C138"/>
    <mergeCell ref="A247:C247"/>
    <mergeCell ref="A363:C363"/>
    <mergeCell ref="D512:I512"/>
    <mergeCell ref="A741:I741"/>
    <mergeCell ref="A874:C874"/>
    <mergeCell ref="A923:C923"/>
    <mergeCell ref="A1044:D1044"/>
    <mergeCell ref="A299:I299"/>
    <mergeCell ref="A1:I1"/>
    <mergeCell ref="A3:I3"/>
    <mergeCell ref="A4:I4"/>
    <mergeCell ref="A673:I673"/>
    <mergeCell ref="A2:I2"/>
    <mergeCell ref="D420:I420"/>
    <mergeCell ref="A652:I652"/>
    <mergeCell ref="A568:C568"/>
    <mergeCell ref="A645:C645"/>
    <mergeCell ref="A570:C570"/>
    <mergeCell ref="A1047:I1047"/>
    <mergeCell ref="A205:C205"/>
    <mergeCell ref="A105:C105"/>
    <mergeCell ref="A241:C241"/>
    <mergeCell ref="A240:C240"/>
    <mergeCell ref="A302:C302"/>
    <mergeCell ref="C203:C204"/>
    <mergeCell ref="A242:C242"/>
    <mergeCell ref="A419:I419"/>
    <mergeCell ref="A303:C303"/>
    <mergeCell ref="A466:C466"/>
    <mergeCell ref="D300:I300"/>
    <mergeCell ref="A245:I245"/>
    <mergeCell ref="C653:C654"/>
    <mergeCell ref="A563:C563"/>
    <mergeCell ref="A627:C627"/>
    <mergeCell ref="A569:C569"/>
    <mergeCell ref="A613:C613"/>
    <mergeCell ref="A653:A654"/>
    <mergeCell ref="A575:C575"/>
    <mergeCell ref="A5:I5"/>
    <mergeCell ref="D103:I103"/>
    <mergeCell ref="A102:I102"/>
    <mergeCell ref="A445:C445"/>
    <mergeCell ref="A337:I337"/>
    <mergeCell ref="A420:A421"/>
    <mergeCell ref="A83:C83"/>
    <mergeCell ref="D203:I203"/>
    <mergeCell ref="A369:C369"/>
    <mergeCell ref="B300:B301"/>
    <mergeCell ref="A885:C885"/>
    <mergeCell ref="A884:I884"/>
    <mergeCell ref="D742:I742"/>
    <mergeCell ref="A674:C674"/>
    <mergeCell ref="A744:C744"/>
    <mergeCell ref="A403:C403"/>
    <mergeCell ref="A409:C409"/>
    <mergeCell ref="A655:C655"/>
    <mergeCell ref="A418:D418"/>
    <mergeCell ref="A514:C514"/>
    <mergeCell ref="A277:I277"/>
    <mergeCell ref="A367:C367"/>
    <mergeCell ref="A202:I202"/>
    <mergeCell ref="A6:A7"/>
    <mergeCell ref="A116:C116"/>
    <mergeCell ref="A149:C149"/>
    <mergeCell ref="A220:I220"/>
    <mergeCell ref="A352:C352"/>
    <mergeCell ref="A12:C12"/>
    <mergeCell ref="A30:C30"/>
    <mergeCell ref="A321:C321"/>
    <mergeCell ref="A320:I320"/>
    <mergeCell ref="A511:I511"/>
    <mergeCell ref="A547:C547"/>
    <mergeCell ref="A478:I478"/>
    <mergeCell ref="A479:C479"/>
    <mergeCell ref="A437:C437"/>
    <mergeCell ref="A518:C518"/>
    <mergeCell ref="C512:C513"/>
    <mergeCell ref="A515:C515"/>
    <mergeCell ref="A508:D508"/>
    <mergeCell ref="A532:I532"/>
    <mergeCell ref="A533:C533"/>
    <mergeCell ref="A509:D509"/>
    <mergeCell ref="D653:I653"/>
    <mergeCell ref="B512:B513"/>
    <mergeCell ref="A651:D651"/>
    <mergeCell ref="A512:A513"/>
    <mergeCell ref="A644:H644"/>
    <mergeCell ref="A546:C546"/>
  </mergeCells>
  <printOptions horizontalCentered="1"/>
  <pageMargins left="0" right="0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36" sqref="A1:R36"/>
    </sheetView>
  </sheetViews>
  <sheetFormatPr defaultColWidth="9.140625" defaultRowHeight="12.75" outlineLevelCol="1"/>
  <cols>
    <col min="1" max="1" width="2.8515625" style="310" customWidth="1"/>
    <col min="2" max="2" width="49.28125" style="311" customWidth="1"/>
    <col min="3" max="3" width="10.8515625" style="311" customWidth="1"/>
    <col min="4" max="4" width="6.28125" style="311" hidden="1" customWidth="1" outlineLevel="1"/>
    <col min="5" max="5" width="11.7109375" style="310" customWidth="1" collapsed="1"/>
    <col min="6" max="15" width="5.28125" style="310" customWidth="1"/>
    <col min="16" max="16" width="6.28125" style="310" customWidth="1"/>
    <col min="17" max="17" width="6.7109375" style="310" customWidth="1"/>
    <col min="18" max="18" width="8.140625" style="310" customWidth="1"/>
    <col min="19" max="16384" width="9.140625" style="212" customWidth="1"/>
  </cols>
  <sheetData>
    <row r="1" spans="1:18" s="291" customFormat="1" ht="13.5" customHeight="1">
      <c r="A1" s="508" t="s">
        <v>449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</row>
    <row r="2" spans="1:18" ht="15" customHeight="1">
      <c r="A2" s="510" t="s">
        <v>34</v>
      </c>
      <c r="B2" s="510" t="s">
        <v>102</v>
      </c>
      <c r="C2" s="510" t="s">
        <v>88</v>
      </c>
      <c r="D2" s="292"/>
      <c r="E2" s="510" t="s">
        <v>154</v>
      </c>
      <c r="F2" s="505" t="s">
        <v>51</v>
      </c>
      <c r="G2" s="506"/>
      <c r="H2" s="506"/>
      <c r="I2" s="506"/>
      <c r="J2" s="506"/>
      <c r="K2" s="506"/>
      <c r="L2" s="506"/>
      <c r="M2" s="506"/>
      <c r="N2" s="506"/>
      <c r="O2" s="506"/>
      <c r="P2" s="504" t="s">
        <v>452</v>
      </c>
      <c r="Q2" s="509" t="s">
        <v>82</v>
      </c>
      <c r="R2" s="509" t="s">
        <v>35</v>
      </c>
    </row>
    <row r="3" spans="1:18" ht="18" customHeight="1">
      <c r="A3" s="510"/>
      <c r="B3" s="510"/>
      <c r="C3" s="510"/>
      <c r="D3" s="294" t="s">
        <v>92</v>
      </c>
      <c r="E3" s="510"/>
      <c r="F3" s="505" t="s">
        <v>36</v>
      </c>
      <c r="G3" s="506"/>
      <c r="H3" s="506"/>
      <c r="I3" s="506"/>
      <c r="J3" s="506"/>
      <c r="K3" s="506"/>
      <c r="L3" s="506"/>
      <c r="M3" s="506"/>
      <c r="N3" s="506"/>
      <c r="O3" s="506"/>
      <c r="P3" s="504"/>
      <c r="Q3" s="509"/>
      <c r="R3" s="509"/>
    </row>
    <row r="4" spans="1:18" ht="21.75" customHeight="1">
      <c r="A4" s="510"/>
      <c r="B4" s="510"/>
      <c r="C4" s="510"/>
      <c r="D4" s="295"/>
      <c r="E4" s="510"/>
      <c r="F4" s="293">
        <v>1</v>
      </c>
      <c r="G4" s="293">
        <v>2</v>
      </c>
      <c r="H4" s="293">
        <v>3</v>
      </c>
      <c r="I4" s="293">
        <v>4</v>
      </c>
      <c r="J4" s="293">
        <v>5</v>
      </c>
      <c r="K4" s="293">
        <v>6</v>
      </c>
      <c r="L4" s="293">
        <v>7</v>
      </c>
      <c r="M4" s="293">
        <v>8</v>
      </c>
      <c r="N4" s="293">
        <v>9</v>
      </c>
      <c r="O4" s="293">
        <v>10</v>
      </c>
      <c r="P4" s="504"/>
      <c r="Q4" s="509"/>
      <c r="R4" s="509"/>
    </row>
    <row r="5" spans="1:18" ht="13.5" customHeight="1">
      <c r="A5" s="296">
        <v>1</v>
      </c>
      <c r="B5" s="296" t="s">
        <v>26</v>
      </c>
      <c r="C5" s="304">
        <v>80</v>
      </c>
      <c r="D5" s="297">
        <v>65</v>
      </c>
      <c r="E5" s="326">
        <f>C5*D5/100</f>
        <v>52</v>
      </c>
      <c r="F5" s="298">
        <f>Меню!L8</f>
        <v>60</v>
      </c>
      <c r="G5" s="298">
        <f>Меню!L107</f>
        <v>50</v>
      </c>
      <c r="H5" s="298">
        <f>Меню!L206</f>
        <v>40</v>
      </c>
      <c r="I5" s="298">
        <f>Меню!L301</f>
        <v>40</v>
      </c>
      <c r="J5" s="298">
        <f>Меню!L424</f>
        <v>50</v>
      </c>
      <c r="K5" s="298">
        <f>Меню!L515</f>
        <v>60</v>
      </c>
      <c r="L5" s="298">
        <f>Меню!L656</f>
        <v>60</v>
      </c>
      <c r="M5" s="298">
        <f>Меню!L747</f>
        <v>70</v>
      </c>
      <c r="N5" s="298">
        <f>Меню!L860</f>
        <v>50</v>
      </c>
      <c r="O5" s="298">
        <f>Меню!L937</f>
        <v>40</v>
      </c>
      <c r="P5" s="298">
        <f>SUM(F5:O5)</f>
        <v>520</v>
      </c>
      <c r="Q5" s="300">
        <f>P5/10</f>
        <v>52</v>
      </c>
      <c r="R5" s="324">
        <f>Q5*100/E5</f>
        <v>100</v>
      </c>
    </row>
    <row r="6" spans="1:18" ht="13.5" customHeight="1">
      <c r="A6" s="296">
        <f>A5+1</f>
        <v>2</v>
      </c>
      <c r="B6" s="296" t="s">
        <v>126</v>
      </c>
      <c r="C6" s="324">
        <v>150</v>
      </c>
      <c r="D6" s="297">
        <v>47</v>
      </c>
      <c r="E6" s="326">
        <f aca="true" t="shared" si="0" ref="E6:E35">C6*D6/100</f>
        <v>70.5</v>
      </c>
      <c r="F6" s="298">
        <f>Меню!L9</f>
        <v>60</v>
      </c>
      <c r="G6" s="298">
        <f>Меню!L108</f>
        <v>50</v>
      </c>
      <c r="H6" s="298">
        <f>Меню!L207</f>
        <v>75</v>
      </c>
      <c r="I6" s="298">
        <f>Меню!L302</f>
        <v>75</v>
      </c>
      <c r="J6" s="298">
        <f>Меню!L425</f>
        <v>95</v>
      </c>
      <c r="K6" s="298">
        <f>Меню!L516</f>
        <v>88</v>
      </c>
      <c r="L6" s="298">
        <f>Меню!L657</f>
        <v>70</v>
      </c>
      <c r="M6" s="298">
        <f>Меню!L749</f>
        <v>70</v>
      </c>
      <c r="N6" s="298">
        <f>Меню!L861</f>
        <v>80</v>
      </c>
      <c r="O6" s="298">
        <f>Меню!L938</f>
        <v>40</v>
      </c>
      <c r="P6" s="298">
        <f aca="true" t="shared" si="1" ref="P6:P35">SUM(F6:O6)</f>
        <v>703</v>
      </c>
      <c r="Q6" s="300">
        <f aca="true" t="shared" si="2" ref="Q6:Q35">P6/10</f>
        <v>70.3</v>
      </c>
      <c r="R6" s="324">
        <f aca="true" t="shared" si="3" ref="R6:R35">Q6*100/E6</f>
        <v>99.71631205673759</v>
      </c>
    </row>
    <row r="7" spans="1:18" ht="13.5" customHeight="1">
      <c r="A7" s="296">
        <f aca="true" t="shared" si="4" ref="A7:A32">A6+1</f>
        <v>3</v>
      </c>
      <c r="B7" s="296" t="s">
        <v>155</v>
      </c>
      <c r="C7" s="304">
        <v>15</v>
      </c>
      <c r="D7" s="300">
        <v>84</v>
      </c>
      <c r="E7" s="326">
        <f t="shared" si="0"/>
        <v>12.6</v>
      </c>
      <c r="F7" s="298">
        <f>Меню!L10</f>
        <v>0</v>
      </c>
      <c r="G7" s="298">
        <f>Меню!L109</f>
        <v>19.5</v>
      </c>
      <c r="H7" s="298">
        <f>Меню!L208</f>
        <v>0</v>
      </c>
      <c r="I7" s="298">
        <f>Меню!L303</f>
        <v>6.5</v>
      </c>
      <c r="J7" s="298">
        <f>Меню!L426</f>
        <v>8.5</v>
      </c>
      <c r="K7" s="298">
        <f>Меню!L517</f>
        <v>8.5</v>
      </c>
      <c r="L7" s="298">
        <f>Меню!L658</f>
        <v>2</v>
      </c>
      <c r="M7" s="298">
        <f>Меню!L750</f>
        <v>8</v>
      </c>
      <c r="N7" s="298">
        <f>Меню!L862</f>
        <v>14.5</v>
      </c>
      <c r="O7" s="298">
        <f>Меню!L939</f>
        <v>59</v>
      </c>
      <c r="P7" s="298">
        <f t="shared" si="1"/>
        <v>126.5</v>
      </c>
      <c r="Q7" s="300">
        <f t="shared" si="2"/>
        <v>12.65</v>
      </c>
      <c r="R7" s="324">
        <f t="shared" si="3"/>
        <v>100.3968253968254</v>
      </c>
    </row>
    <row r="8" spans="1:18" s="291" customFormat="1" ht="13.5" customHeight="1">
      <c r="A8" s="296">
        <f t="shared" si="4"/>
        <v>4</v>
      </c>
      <c r="B8" s="301" t="s">
        <v>66</v>
      </c>
      <c r="C8" s="306">
        <v>45</v>
      </c>
      <c r="D8" s="300">
        <v>75.5</v>
      </c>
      <c r="E8" s="326">
        <f t="shared" si="0"/>
        <v>33.975</v>
      </c>
      <c r="F8" s="298">
        <f>Меню!L11</f>
        <v>10</v>
      </c>
      <c r="G8" s="298">
        <f>Меню!L110</f>
        <v>68</v>
      </c>
      <c r="H8" s="298">
        <f>Меню!L209</f>
        <v>8.5</v>
      </c>
      <c r="I8" s="298">
        <f>Меню!L304</f>
        <v>38</v>
      </c>
      <c r="J8" s="298">
        <f>Меню!L427</f>
        <v>16.666666666666668</v>
      </c>
      <c r="K8" s="298">
        <f>Меню!L518</f>
        <v>0</v>
      </c>
      <c r="L8" s="298">
        <f>Меню!L659</f>
        <v>54</v>
      </c>
      <c r="M8" s="298">
        <f>Меню!L751</f>
        <v>76</v>
      </c>
      <c r="N8" s="298">
        <f>Меню!L863</f>
        <v>5</v>
      </c>
      <c r="O8" s="298">
        <f>Меню!L940</f>
        <v>64</v>
      </c>
      <c r="P8" s="298">
        <f t="shared" si="1"/>
        <v>340.16666666666663</v>
      </c>
      <c r="Q8" s="300">
        <f t="shared" si="2"/>
        <v>34.016666666666666</v>
      </c>
      <c r="R8" s="324">
        <f t="shared" si="3"/>
        <v>100.12263919548687</v>
      </c>
    </row>
    <row r="9" spans="1:18" s="291" customFormat="1" ht="13.5" customHeight="1">
      <c r="A9" s="296">
        <f t="shared" si="4"/>
        <v>5</v>
      </c>
      <c r="B9" s="301" t="s">
        <v>65</v>
      </c>
      <c r="C9" s="306">
        <v>15</v>
      </c>
      <c r="D9" s="300">
        <v>56.5</v>
      </c>
      <c r="E9" s="326">
        <f t="shared" si="0"/>
        <v>8.475</v>
      </c>
      <c r="F9" s="298">
        <f>Меню!L12</f>
        <v>0</v>
      </c>
      <c r="G9" s="298">
        <f>Меню!L111</f>
        <v>0</v>
      </c>
      <c r="H9" s="298">
        <f>Меню!L210</f>
        <v>0</v>
      </c>
      <c r="I9" s="298">
        <f>Меню!L305</f>
        <v>0</v>
      </c>
      <c r="J9" s="298">
        <f>Меню!L428</f>
        <v>65</v>
      </c>
      <c r="K9" s="298">
        <f>Меню!L519</f>
        <v>20</v>
      </c>
      <c r="L9" s="298">
        <f>Меню!L660</f>
        <v>0</v>
      </c>
      <c r="M9" s="298">
        <f>Меню!L752</f>
        <v>0</v>
      </c>
      <c r="N9" s="298">
        <f>Меню!L864</f>
        <v>0</v>
      </c>
      <c r="O9" s="298">
        <f>Меню!L941</f>
        <v>0</v>
      </c>
      <c r="P9" s="298">
        <f t="shared" si="1"/>
        <v>85</v>
      </c>
      <c r="Q9" s="300">
        <f t="shared" si="2"/>
        <v>8.5</v>
      </c>
      <c r="R9" s="324">
        <f t="shared" si="3"/>
        <v>100.29498525073747</v>
      </c>
    </row>
    <row r="10" spans="1:18" ht="13.5" customHeight="1">
      <c r="A10" s="296">
        <f t="shared" si="4"/>
        <v>6</v>
      </c>
      <c r="B10" s="296" t="s">
        <v>27</v>
      </c>
      <c r="C10" s="304">
        <v>188</v>
      </c>
      <c r="D10" s="300">
        <v>80</v>
      </c>
      <c r="E10" s="326">
        <f t="shared" si="0"/>
        <v>150.4</v>
      </c>
      <c r="F10" s="298">
        <f>Меню!L13</f>
        <v>194</v>
      </c>
      <c r="G10" s="298">
        <f>Меню!L112</f>
        <v>181</v>
      </c>
      <c r="H10" s="298">
        <f>Меню!L211</f>
        <v>180</v>
      </c>
      <c r="I10" s="298">
        <f>Меню!L306</f>
        <v>166</v>
      </c>
      <c r="J10" s="298">
        <f>Меню!L429</f>
        <v>212</v>
      </c>
      <c r="K10" s="298">
        <f>Меню!L520</f>
        <v>158</v>
      </c>
      <c r="L10" s="298">
        <f>Меню!L661</f>
        <v>100</v>
      </c>
      <c r="M10" s="298">
        <f>Меню!L753</f>
        <v>28</v>
      </c>
      <c r="N10" s="298">
        <f>Меню!L865</f>
        <v>203</v>
      </c>
      <c r="O10" s="298">
        <f>Меню!L942</f>
        <v>87</v>
      </c>
      <c r="P10" s="298">
        <f t="shared" si="1"/>
        <v>1509</v>
      </c>
      <c r="Q10" s="300">
        <f t="shared" si="2"/>
        <v>150.9</v>
      </c>
      <c r="R10" s="324">
        <f t="shared" si="3"/>
        <v>100.33244680851064</v>
      </c>
    </row>
    <row r="11" spans="1:18" ht="33.75" customHeight="1">
      <c r="A11" s="296">
        <f t="shared" si="4"/>
        <v>7</v>
      </c>
      <c r="B11" s="301" t="s">
        <v>201</v>
      </c>
      <c r="C11" s="304">
        <v>280</v>
      </c>
      <c r="D11" s="300">
        <v>65.5</v>
      </c>
      <c r="E11" s="326">
        <f t="shared" si="0"/>
        <v>183.4</v>
      </c>
      <c r="F11" s="298">
        <f>Меню!L14</f>
        <v>181.075</v>
      </c>
      <c r="G11" s="298">
        <f>Меню!L113</f>
        <v>79.5</v>
      </c>
      <c r="H11" s="298">
        <f>Меню!L212</f>
        <v>178</v>
      </c>
      <c r="I11" s="298">
        <f>Меню!L307</f>
        <v>179.5</v>
      </c>
      <c r="J11" s="298">
        <f>Меню!L430</f>
        <v>141</v>
      </c>
      <c r="K11" s="298">
        <f>Меню!L521</f>
        <v>272</v>
      </c>
      <c r="L11" s="298">
        <f>Меню!L662</f>
        <v>161.1</v>
      </c>
      <c r="M11" s="298">
        <f>Меню!L754</f>
        <v>462.2</v>
      </c>
      <c r="N11" s="298">
        <f>Меню!L866</f>
        <v>86.2</v>
      </c>
      <c r="O11" s="298">
        <f>Меню!L943</f>
        <v>92.2</v>
      </c>
      <c r="P11" s="298">
        <f t="shared" si="1"/>
        <v>1832.775</v>
      </c>
      <c r="Q11" s="300">
        <f t="shared" si="2"/>
        <v>183.2775</v>
      </c>
      <c r="R11" s="324">
        <f t="shared" si="3"/>
        <v>99.93320610687023</v>
      </c>
    </row>
    <row r="12" spans="1:18" ht="15" customHeight="1">
      <c r="A12" s="296">
        <f t="shared" si="4"/>
        <v>8</v>
      </c>
      <c r="B12" s="296" t="s">
        <v>28</v>
      </c>
      <c r="C12" s="304">
        <v>185</v>
      </c>
      <c r="D12" s="300">
        <v>65.5</v>
      </c>
      <c r="E12" s="326">
        <f t="shared" si="0"/>
        <v>121.175</v>
      </c>
      <c r="F12" s="298">
        <f>Меню!L15</f>
        <v>160</v>
      </c>
      <c r="G12" s="298">
        <f>Меню!L114</f>
        <v>150</v>
      </c>
      <c r="H12" s="298">
        <f>Меню!L213</f>
        <v>174</v>
      </c>
      <c r="I12" s="298">
        <f>Меню!L308</f>
        <v>170</v>
      </c>
      <c r="J12" s="298">
        <f>Меню!L431</f>
        <v>25</v>
      </c>
      <c r="K12" s="298">
        <f>Меню!L522</f>
        <v>157</v>
      </c>
      <c r="L12" s="298">
        <f>Меню!L663</f>
        <v>185</v>
      </c>
      <c r="M12" s="298">
        <f>Меню!L755</f>
        <v>0</v>
      </c>
      <c r="N12" s="298">
        <f>Меню!L867</f>
        <v>31</v>
      </c>
      <c r="O12" s="298">
        <f>Меню!L944</f>
        <v>160</v>
      </c>
      <c r="P12" s="298">
        <f t="shared" si="1"/>
        <v>1212</v>
      </c>
      <c r="Q12" s="300">
        <f t="shared" si="2"/>
        <v>121.2</v>
      </c>
      <c r="R12" s="324">
        <f t="shared" si="3"/>
        <v>100.02063131834124</v>
      </c>
    </row>
    <row r="13" spans="1:18" ht="15" customHeight="1">
      <c r="A13" s="296">
        <f t="shared" si="4"/>
        <v>9</v>
      </c>
      <c r="B13" s="296" t="s">
        <v>170</v>
      </c>
      <c r="C13" s="304">
        <v>15</v>
      </c>
      <c r="D13" s="299">
        <v>33.5</v>
      </c>
      <c r="E13" s="326">
        <f t="shared" si="0"/>
        <v>5.025</v>
      </c>
      <c r="F13" s="298">
        <f>Меню!L16</f>
        <v>0</v>
      </c>
      <c r="G13" s="298">
        <f>Меню!L115</f>
        <v>0</v>
      </c>
      <c r="H13" s="298">
        <f>Меню!L214</f>
        <v>0</v>
      </c>
      <c r="I13" s="298">
        <f>Меню!L309</f>
        <v>25</v>
      </c>
      <c r="J13" s="298">
        <f>Меню!L432</f>
        <v>0</v>
      </c>
      <c r="K13" s="298">
        <f>Меню!L523</f>
        <v>0</v>
      </c>
      <c r="L13" s="298">
        <f>Меню!L664</f>
        <v>0</v>
      </c>
      <c r="M13" s="298">
        <f>Меню!L756</f>
        <v>25</v>
      </c>
      <c r="N13" s="298">
        <f>Меню!L868</f>
        <v>0</v>
      </c>
      <c r="O13" s="298">
        <f>Меню!L945</f>
        <v>0</v>
      </c>
      <c r="P13" s="298">
        <f t="shared" si="1"/>
        <v>50</v>
      </c>
      <c r="Q13" s="300">
        <f t="shared" si="2"/>
        <v>5</v>
      </c>
      <c r="R13" s="324">
        <f t="shared" si="3"/>
        <v>99.50248756218905</v>
      </c>
    </row>
    <row r="14" spans="1:18" ht="33" customHeight="1">
      <c r="A14" s="296">
        <f t="shared" si="4"/>
        <v>10</v>
      </c>
      <c r="B14" s="301" t="s">
        <v>202</v>
      </c>
      <c r="C14" s="304">
        <v>30</v>
      </c>
      <c r="D14" s="300">
        <v>77</v>
      </c>
      <c r="E14" s="326">
        <f t="shared" si="0"/>
        <v>23.1</v>
      </c>
      <c r="F14" s="298">
        <f>Меню!L17</f>
        <v>16</v>
      </c>
      <c r="G14" s="298">
        <f>Меню!L116</f>
        <v>12</v>
      </c>
      <c r="H14" s="298">
        <f>Меню!L215</f>
        <v>37</v>
      </c>
      <c r="I14" s="298">
        <f>Меню!L310</f>
        <v>15</v>
      </c>
      <c r="J14" s="298">
        <f>Меню!L433</f>
        <v>27</v>
      </c>
      <c r="K14" s="298">
        <f>Меню!L524</f>
        <v>15</v>
      </c>
      <c r="L14" s="298">
        <f>Меню!L665</f>
        <v>27</v>
      </c>
      <c r="M14" s="298">
        <f>Меню!L757</f>
        <v>28</v>
      </c>
      <c r="N14" s="298">
        <f>Меню!L869</f>
        <v>36</v>
      </c>
      <c r="O14" s="298">
        <f>Меню!L946</f>
        <v>18</v>
      </c>
      <c r="P14" s="298">
        <f t="shared" si="1"/>
        <v>231</v>
      </c>
      <c r="Q14" s="300">
        <f t="shared" si="2"/>
        <v>23.1</v>
      </c>
      <c r="R14" s="324">
        <f t="shared" si="3"/>
        <v>100</v>
      </c>
    </row>
    <row r="15" spans="1:18" s="61" customFormat="1" ht="13.5" customHeight="1">
      <c r="A15" s="296">
        <f t="shared" si="4"/>
        <v>11</v>
      </c>
      <c r="B15" s="301" t="s">
        <v>357</v>
      </c>
      <c r="C15" s="304">
        <v>200</v>
      </c>
      <c r="D15" s="300">
        <v>50</v>
      </c>
      <c r="E15" s="326">
        <f t="shared" si="0"/>
        <v>100</v>
      </c>
      <c r="F15" s="298">
        <f>Меню!L18</f>
        <v>200</v>
      </c>
      <c r="G15" s="298">
        <f>Меню!L117</f>
        <v>200</v>
      </c>
      <c r="H15" s="298">
        <f>Меню!L216</f>
        <v>0</v>
      </c>
      <c r="I15" s="298">
        <f>Меню!L311</f>
        <v>200</v>
      </c>
      <c r="J15" s="298">
        <f>Меню!L434</f>
        <v>0</v>
      </c>
      <c r="K15" s="298">
        <f>Меню!L525</f>
        <v>200</v>
      </c>
      <c r="L15" s="298">
        <f>Меню!L666</f>
        <v>0</v>
      </c>
      <c r="M15" s="298">
        <f>Меню!L758</f>
        <v>0</v>
      </c>
      <c r="N15" s="298">
        <f>Меню!L870</f>
        <v>0</v>
      </c>
      <c r="O15" s="298">
        <f>Меню!L947</f>
        <v>200</v>
      </c>
      <c r="P15" s="298">
        <f t="shared" si="1"/>
        <v>1000</v>
      </c>
      <c r="Q15" s="300">
        <f t="shared" si="2"/>
        <v>100</v>
      </c>
      <c r="R15" s="324">
        <f t="shared" si="3"/>
        <v>100</v>
      </c>
    </row>
    <row r="16" spans="1:18" s="61" customFormat="1" ht="13.5" customHeight="1">
      <c r="A16" s="302">
        <f t="shared" si="4"/>
        <v>12</v>
      </c>
      <c r="B16" s="302" t="s">
        <v>29</v>
      </c>
      <c r="C16" s="304">
        <v>10</v>
      </c>
      <c r="D16" s="300">
        <v>80</v>
      </c>
      <c r="E16" s="326">
        <f t="shared" si="0"/>
        <v>8</v>
      </c>
      <c r="F16" s="298">
        <f>Меню!L19</f>
        <v>20</v>
      </c>
      <c r="G16" s="298">
        <f>Меню!L118</f>
        <v>0</v>
      </c>
      <c r="H16" s="298">
        <f>Меню!L217</f>
        <v>0</v>
      </c>
      <c r="I16" s="298">
        <f>Меню!L312</f>
        <v>0</v>
      </c>
      <c r="J16" s="298">
        <f>Меню!L435</f>
        <v>0</v>
      </c>
      <c r="K16" s="298">
        <f>Меню!L526</f>
        <v>0</v>
      </c>
      <c r="L16" s="298">
        <f>Меню!L667</f>
        <v>20</v>
      </c>
      <c r="M16" s="298">
        <f>Меню!L759</f>
        <v>20</v>
      </c>
      <c r="N16" s="298">
        <f>Меню!L871</f>
        <v>20</v>
      </c>
      <c r="O16" s="298">
        <f>Меню!L948</f>
        <v>0</v>
      </c>
      <c r="P16" s="298">
        <f t="shared" si="1"/>
        <v>80</v>
      </c>
      <c r="Q16" s="300">
        <f t="shared" si="2"/>
        <v>8</v>
      </c>
      <c r="R16" s="324">
        <f t="shared" si="3"/>
        <v>100</v>
      </c>
    </row>
    <row r="17" spans="1:18" s="329" customFormat="1" ht="13.5" customHeight="1">
      <c r="A17" s="328">
        <f t="shared" si="4"/>
        <v>13</v>
      </c>
      <c r="B17" s="328" t="s">
        <v>70</v>
      </c>
      <c r="C17" s="325">
        <v>0.2</v>
      </c>
      <c r="D17" s="299">
        <v>22.5</v>
      </c>
      <c r="E17" s="376">
        <f t="shared" si="0"/>
        <v>0.045</v>
      </c>
      <c r="F17" s="298">
        <f>Меню!L20</f>
        <v>0</v>
      </c>
      <c r="G17" s="298">
        <f>Меню!L119</f>
        <v>0</v>
      </c>
      <c r="H17" s="298">
        <f>Меню!L218</f>
        <v>0</v>
      </c>
      <c r="I17" s="298">
        <f>Меню!L313</f>
        <v>0</v>
      </c>
      <c r="J17" s="298">
        <f>Меню!L436</f>
        <v>0</v>
      </c>
      <c r="K17" s="298">
        <f>Меню!L527</f>
        <v>0</v>
      </c>
      <c r="L17" s="298">
        <f>Меню!L668</f>
        <v>0</v>
      </c>
      <c r="M17" s="298">
        <f>Меню!L760</f>
        <v>0</v>
      </c>
      <c r="N17" s="298">
        <f>Меню!L872</f>
        <v>0</v>
      </c>
      <c r="O17" s="298">
        <f>Меню!L949</f>
        <v>0.45</v>
      </c>
      <c r="P17" s="298">
        <f t="shared" si="1"/>
        <v>0.45</v>
      </c>
      <c r="Q17" s="300">
        <f t="shared" si="2"/>
        <v>0.045</v>
      </c>
      <c r="R17" s="324">
        <f t="shared" si="3"/>
        <v>100</v>
      </c>
    </row>
    <row r="18" spans="1:18" ht="13.5" customHeight="1">
      <c r="A18" s="296">
        <f t="shared" si="4"/>
        <v>14</v>
      </c>
      <c r="B18" s="296" t="s">
        <v>182</v>
      </c>
      <c r="C18" s="304">
        <v>1</v>
      </c>
      <c r="D18" s="300">
        <v>50</v>
      </c>
      <c r="E18" s="327">
        <f t="shared" si="0"/>
        <v>0.5</v>
      </c>
      <c r="F18" s="298">
        <f>Меню!L21</f>
        <v>0</v>
      </c>
      <c r="G18" s="298">
        <f>Меню!L120</f>
        <v>0</v>
      </c>
      <c r="H18" s="298">
        <f>Меню!L219</f>
        <v>5</v>
      </c>
      <c r="I18" s="298">
        <f>Меню!L314</f>
        <v>0</v>
      </c>
      <c r="J18" s="298">
        <f>Меню!L437</f>
        <v>0</v>
      </c>
      <c r="K18" s="298">
        <f>Меню!L528</f>
        <v>0</v>
      </c>
      <c r="L18" s="298">
        <f>Меню!L669</f>
        <v>0</v>
      </c>
      <c r="M18" s="298">
        <f>Меню!L761</f>
        <v>0</v>
      </c>
      <c r="N18" s="298">
        <f>Меню!L873</f>
        <v>0</v>
      </c>
      <c r="O18" s="298">
        <f>Меню!L950</f>
        <v>0</v>
      </c>
      <c r="P18" s="298">
        <f t="shared" si="1"/>
        <v>5</v>
      </c>
      <c r="Q18" s="300">
        <f t="shared" si="2"/>
        <v>0.5</v>
      </c>
      <c r="R18" s="324">
        <f t="shared" si="3"/>
        <v>100</v>
      </c>
    </row>
    <row r="19" spans="1:18" ht="13.5" customHeight="1">
      <c r="A19" s="296">
        <f t="shared" si="4"/>
        <v>15</v>
      </c>
      <c r="B19" s="296" t="s">
        <v>183</v>
      </c>
      <c r="C19" s="304">
        <v>2</v>
      </c>
      <c r="D19" s="300">
        <v>40</v>
      </c>
      <c r="E19" s="326">
        <f t="shared" si="0"/>
        <v>0.8</v>
      </c>
      <c r="F19" s="298">
        <f>Меню!L22</f>
        <v>4</v>
      </c>
      <c r="G19" s="298">
        <f>Меню!L121</f>
        <v>0</v>
      </c>
      <c r="H19" s="298">
        <f>Меню!L220</f>
        <v>0</v>
      </c>
      <c r="I19" s="298">
        <f>Меню!L315</f>
        <v>0</v>
      </c>
      <c r="J19" s="298">
        <f>Меню!L438</f>
        <v>0</v>
      </c>
      <c r="K19" s="298">
        <f>Меню!L529</f>
        <v>0</v>
      </c>
      <c r="L19" s="298">
        <f>Меню!L670</f>
        <v>0</v>
      </c>
      <c r="M19" s="298">
        <f>Меню!L762</f>
        <v>4</v>
      </c>
      <c r="N19" s="298">
        <f>Меню!L874</f>
        <v>0</v>
      </c>
      <c r="O19" s="298">
        <f>Меню!L951</f>
        <v>0</v>
      </c>
      <c r="P19" s="298">
        <f t="shared" si="1"/>
        <v>8</v>
      </c>
      <c r="Q19" s="300">
        <f t="shared" si="2"/>
        <v>0.8</v>
      </c>
      <c r="R19" s="324">
        <f t="shared" si="3"/>
        <v>100</v>
      </c>
    </row>
    <row r="20" spans="1:18" ht="13.5" customHeight="1">
      <c r="A20" s="296">
        <f t="shared" si="4"/>
        <v>16</v>
      </c>
      <c r="B20" s="303" t="s">
        <v>30</v>
      </c>
      <c r="C20" s="325">
        <v>1</v>
      </c>
      <c r="D20" s="300">
        <v>60</v>
      </c>
      <c r="E20" s="327">
        <f t="shared" si="0"/>
        <v>0.6</v>
      </c>
      <c r="F20" s="298">
        <f>Меню!L23</f>
        <v>0</v>
      </c>
      <c r="G20" s="298">
        <f>Меню!L122</f>
        <v>1</v>
      </c>
      <c r="H20" s="298">
        <f>Меню!L221</f>
        <v>0</v>
      </c>
      <c r="I20" s="298">
        <f>Меню!L316</f>
        <v>0</v>
      </c>
      <c r="J20" s="298">
        <f>Меню!L439</f>
        <v>1</v>
      </c>
      <c r="K20" s="298">
        <f>Меню!L530</f>
        <v>1</v>
      </c>
      <c r="L20" s="298">
        <f>Меню!L671</f>
        <v>1</v>
      </c>
      <c r="M20" s="298">
        <f>Меню!L763</f>
        <v>0</v>
      </c>
      <c r="N20" s="298">
        <f>Меню!L875</f>
        <v>1</v>
      </c>
      <c r="O20" s="298">
        <f>Меню!L952</f>
        <v>1</v>
      </c>
      <c r="P20" s="298">
        <f t="shared" si="1"/>
        <v>6</v>
      </c>
      <c r="Q20" s="300">
        <f t="shared" si="2"/>
        <v>0.6</v>
      </c>
      <c r="R20" s="324">
        <f t="shared" si="3"/>
        <v>100</v>
      </c>
    </row>
    <row r="21" spans="1:18" ht="13.5" customHeight="1">
      <c r="A21" s="296">
        <f t="shared" si="4"/>
        <v>17</v>
      </c>
      <c r="B21" s="296" t="s">
        <v>172</v>
      </c>
      <c r="C21" s="304">
        <v>70</v>
      </c>
      <c r="D21" s="300">
        <v>62.5</v>
      </c>
      <c r="E21" s="327">
        <f t="shared" si="0"/>
        <v>43.75</v>
      </c>
      <c r="F21" s="298">
        <f>Меню!L24</f>
        <v>16</v>
      </c>
      <c r="G21" s="298">
        <f>Меню!L123</f>
        <v>17</v>
      </c>
      <c r="H21" s="298">
        <f>Меню!L222</f>
        <v>0</v>
      </c>
      <c r="I21" s="298">
        <f>Меню!L317</f>
        <v>100</v>
      </c>
      <c r="J21" s="298">
        <f>Меню!L440</f>
        <v>95</v>
      </c>
      <c r="K21" s="298">
        <f>Меню!L531</f>
        <v>99</v>
      </c>
      <c r="L21" s="298">
        <f>Меню!L672</f>
        <v>0</v>
      </c>
      <c r="M21" s="298">
        <f>Меню!L764</f>
        <v>95</v>
      </c>
      <c r="N21" s="298">
        <f>Меню!L876</f>
        <v>16</v>
      </c>
      <c r="O21" s="298">
        <f>Меню!L953</f>
        <v>0</v>
      </c>
      <c r="P21" s="298">
        <f t="shared" si="1"/>
        <v>438</v>
      </c>
      <c r="Q21" s="300">
        <f t="shared" si="2"/>
        <v>43.8</v>
      </c>
      <c r="R21" s="324">
        <f t="shared" si="3"/>
        <v>100.11428571428571</v>
      </c>
    </row>
    <row r="22" spans="1:18" ht="13.5" customHeight="1">
      <c r="A22" s="296">
        <f t="shared" si="4"/>
        <v>18</v>
      </c>
      <c r="B22" s="301" t="s">
        <v>174</v>
      </c>
      <c r="C22" s="304">
        <v>35</v>
      </c>
      <c r="D22" s="300">
        <v>92</v>
      </c>
      <c r="E22" s="326">
        <f t="shared" si="0"/>
        <v>32.2</v>
      </c>
      <c r="F22" s="298">
        <f>Меню!L25</f>
        <v>0</v>
      </c>
      <c r="G22" s="298">
        <f>Меню!L124</f>
        <v>0</v>
      </c>
      <c r="H22" s="298">
        <f>Меню!L223</f>
        <v>62</v>
      </c>
      <c r="I22" s="298" t="str">
        <f>Меню!L318</f>
        <v>43</v>
      </c>
      <c r="J22" s="298">
        <f>Меню!L441</f>
        <v>72</v>
      </c>
      <c r="K22" s="298">
        <f>Меню!L532</f>
        <v>46</v>
      </c>
      <c r="L22" s="298">
        <f>Меню!L673</f>
        <v>69</v>
      </c>
      <c r="M22" s="298">
        <f>Меню!L765</f>
        <v>60</v>
      </c>
      <c r="N22" s="298">
        <f>Меню!L877</f>
        <v>0</v>
      </c>
      <c r="O22" s="298">
        <f>Меню!L954</f>
        <v>14</v>
      </c>
      <c r="P22" s="298">
        <f t="shared" si="1"/>
        <v>323</v>
      </c>
      <c r="Q22" s="300">
        <f t="shared" si="2"/>
        <v>32.3</v>
      </c>
      <c r="R22" s="324">
        <f t="shared" si="3"/>
        <v>100.31055900621115</v>
      </c>
    </row>
    <row r="23" spans="1:18" ht="13.5" customHeight="1">
      <c r="A23" s="296">
        <f t="shared" si="4"/>
        <v>19</v>
      </c>
      <c r="B23" s="296" t="s">
        <v>173</v>
      </c>
      <c r="C23" s="304">
        <v>30</v>
      </c>
      <c r="D23" s="299">
        <v>56</v>
      </c>
      <c r="E23" s="326">
        <f t="shared" si="0"/>
        <v>16.8</v>
      </c>
      <c r="F23" s="298">
        <f>Меню!L26</f>
        <v>0</v>
      </c>
      <c r="G23" s="298">
        <f>Меню!L125</f>
        <v>75</v>
      </c>
      <c r="H23" s="298">
        <f>Меню!L224</f>
        <v>0</v>
      </c>
      <c r="I23" s="298">
        <f>Меню!L319</f>
        <v>0</v>
      </c>
      <c r="J23" s="298">
        <f>Меню!L442</f>
        <v>0</v>
      </c>
      <c r="K23" s="298">
        <f>Меню!L533</f>
        <v>0</v>
      </c>
      <c r="L23" s="298">
        <f>Меню!L674</f>
        <v>0</v>
      </c>
      <c r="M23" s="298">
        <f>Меню!L766</f>
        <v>0</v>
      </c>
      <c r="N23" s="298">
        <f>Меню!L878</f>
        <v>0</v>
      </c>
      <c r="O23" s="298">
        <f>Меню!L955</f>
        <v>93</v>
      </c>
      <c r="P23" s="298">
        <f t="shared" si="1"/>
        <v>168</v>
      </c>
      <c r="Q23" s="300">
        <f t="shared" si="2"/>
        <v>16.8</v>
      </c>
      <c r="R23" s="324">
        <f t="shared" si="3"/>
        <v>100</v>
      </c>
    </row>
    <row r="24" spans="1:18" ht="13.5" customHeight="1">
      <c r="A24" s="296">
        <f t="shared" si="4"/>
        <v>20</v>
      </c>
      <c r="B24" s="301" t="s">
        <v>175</v>
      </c>
      <c r="C24" s="304">
        <v>58</v>
      </c>
      <c r="D24" s="300">
        <v>81</v>
      </c>
      <c r="E24" s="327">
        <f t="shared" si="0"/>
        <v>46.98</v>
      </c>
      <c r="F24" s="298">
        <f>Меню!L27</f>
        <v>111</v>
      </c>
      <c r="G24" s="298">
        <f>Меню!L126</f>
        <v>113</v>
      </c>
      <c r="H24" s="298">
        <f>Меню!L225</f>
        <v>58</v>
      </c>
      <c r="I24" s="298">
        <f>Меню!L320</f>
        <v>0</v>
      </c>
      <c r="J24" s="298">
        <f>Меню!L443</f>
        <v>0</v>
      </c>
      <c r="K24" s="298">
        <f>Меню!L534</f>
        <v>0</v>
      </c>
      <c r="L24" s="298">
        <f>Меню!L675</f>
        <v>68</v>
      </c>
      <c r="M24" s="298">
        <f>Меню!L767</f>
        <v>20</v>
      </c>
      <c r="N24" s="298">
        <f>Меню!L879</f>
        <v>102</v>
      </c>
      <c r="O24" s="298">
        <f>Меню!L956</f>
        <v>0</v>
      </c>
      <c r="P24" s="298">
        <f t="shared" si="1"/>
        <v>472</v>
      </c>
      <c r="Q24" s="300">
        <f t="shared" si="2"/>
        <v>47.2</v>
      </c>
      <c r="R24" s="324">
        <f t="shared" si="3"/>
        <v>100.46828437633036</v>
      </c>
    </row>
    <row r="25" spans="1:18" s="291" customFormat="1" ht="13.5" customHeight="1">
      <c r="A25" s="296">
        <f t="shared" si="4"/>
        <v>21</v>
      </c>
      <c r="B25" s="305" t="s">
        <v>80</v>
      </c>
      <c r="C25" s="306">
        <v>300</v>
      </c>
      <c r="D25" s="299">
        <v>22.8</v>
      </c>
      <c r="E25" s="326">
        <f t="shared" si="0"/>
        <v>68.4</v>
      </c>
      <c r="F25" s="298">
        <f>Меню!L28</f>
        <v>97</v>
      </c>
      <c r="G25" s="298">
        <f>Меню!L127</f>
        <v>23</v>
      </c>
      <c r="H25" s="298">
        <f>Меню!L226</f>
        <v>160</v>
      </c>
      <c r="I25" s="298">
        <f>Меню!L321</f>
        <v>25</v>
      </c>
      <c r="J25" s="298">
        <f>Меню!L444</f>
        <v>14</v>
      </c>
      <c r="K25" s="298">
        <f>Меню!L535</f>
        <v>52</v>
      </c>
      <c r="L25" s="298">
        <f>Меню!L676</f>
        <v>47</v>
      </c>
      <c r="M25" s="298">
        <f>Меню!L768</f>
        <v>68</v>
      </c>
      <c r="N25" s="298">
        <f>Меню!L880</f>
        <v>23</v>
      </c>
      <c r="O25" s="298">
        <f>Меню!L957</f>
        <v>175.6</v>
      </c>
      <c r="P25" s="298">
        <f t="shared" si="1"/>
        <v>684.6</v>
      </c>
      <c r="Q25" s="300">
        <f t="shared" si="2"/>
        <v>68.46000000000001</v>
      </c>
      <c r="R25" s="324">
        <f t="shared" si="3"/>
        <v>100.08771929824562</v>
      </c>
    </row>
    <row r="26" spans="1:18" s="61" customFormat="1" ht="13.5" customHeight="1">
      <c r="A26" s="302">
        <f t="shared" si="4"/>
        <v>22</v>
      </c>
      <c r="B26" s="307" t="s">
        <v>176</v>
      </c>
      <c r="C26" s="308">
        <v>150</v>
      </c>
      <c r="D26" s="299">
        <v>16.6</v>
      </c>
      <c r="E26" s="326">
        <f>C26*D26/100</f>
        <v>24.9</v>
      </c>
      <c r="F26" s="298">
        <f>Меню!L29</f>
        <v>125</v>
      </c>
      <c r="G26" s="298">
        <f>Меню!L128</f>
        <v>0</v>
      </c>
      <c r="H26" s="298">
        <f>Меню!L227</f>
        <v>0</v>
      </c>
      <c r="I26" s="298">
        <f>Меню!L322</f>
        <v>0</v>
      </c>
      <c r="J26" s="298">
        <f>Меню!L445</f>
        <v>0</v>
      </c>
      <c r="K26" s="298">
        <f>Меню!L536</f>
        <v>0</v>
      </c>
      <c r="L26" s="298">
        <f>Меню!L677</f>
        <v>0</v>
      </c>
      <c r="M26" s="298">
        <f>Меню!L769</f>
        <v>0</v>
      </c>
      <c r="N26" s="298">
        <f>Меню!L881</f>
        <v>125</v>
      </c>
      <c r="O26" s="298">
        <f>Меню!L958</f>
        <v>0</v>
      </c>
      <c r="P26" s="298">
        <f t="shared" si="1"/>
        <v>250</v>
      </c>
      <c r="Q26" s="300">
        <f t="shared" si="2"/>
        <v>25</v>
      </c>
      <c r="R26" s="324">
        <f t="shared" si="3"/>
        <v>100.40160642570282</v>
      </c>
    </row>
    <row r="27" spans="1:18" ht="13.5" customHeight="1">
      <c r="A27" s="296">
        <f t="shared" si="4"/>
        <v>23</v>
      </c>
      <c r="B27" s="301" t="s">
        <v>177</v>
      </c>
      <c r="C27" s="304">
        <v>50</v>
      </c>
      <c r="D27" s="300">
        <v>50</v>
      </c>
      <c r="E27" s="326">
        <f t="shared" si="0"/>
        <v>25</v>
      </c>
      <c r="F27" s="298">
        <f>Меню!L30</f>
        <v>0</v>
      </c>
      <c r="G27" s="298">
        <f>Меню!L129</f>
        <v>0</v>
      </c>
      <c r="H27" s="298">
        <f>Меню!L228</f>
        <v>113</v>
      </c>
      <c r="I27" s="298">
        <f>Меню!L323</f>
        <v>0</v>
      </c>
      <c r="J27" s="298">
        <f>Меню!L446</f>
        <v>0</v>
      </c>
      <c r="K27" s="298">
        <f>Меню!L537</f>
        <v>0</v>
      </c>
      <c r="L27" s="298">
        <f>Меню!L678</f>
        <v>0</v>
      </c>
      <c r="M27" s="298">
        <f>Меню!L770</f>
        <v>0</v>
      </c>
      <c r="N27" s="298">
        <f>Меню!L882</f>
        <v>136</v>
      </c>
      <c r="O27" s="298">
        <f>Меню!L959</f>
        <v>0</v>
      </c>
      <c r="P27" s="298">
        <f t="shared" si="1"/>
        <v>249</v>
      </c>
      <c r="Q27" s="300">
        <f t="shared" si="2"/>
        <v>24.9</v>
      </c>
      <c r="R27" s="324">
        <f t="shared" si="3"/>
        <v>99.6</v>
      </c>
    </row>
    <row r="28" spans="1:18" s="291" customFormat="1" ht="13.5" customHeight="1">
      <c r="A28" s="296">
        <f t="shared" si="4"/>
        <v>24</v>
      </c>
      <c r="B28" s="296" t="s">
        <v>31</v>
      </c>
      <c r="C28" s="304">
        <v>10</v>
      </c>
      <c r="D28" s="300">
        <v>93.5</v>
      </c>
      <c r="E28" s="327">
        <f t="shared" si="0"/>
        <v>9.35</v>
      </c>
      <c r="F28" s="298">
        <f>Меню!L31</f>
        <v>5</v>
      </c>
      <c r="G28" s="298">
        <f>Меню!L130</f>
        <v>17.5</v>
      </c>
      <c r="H28" s="298">
        <f>Меню!L229</f>
        <v>4</v>
      </c>
      <c r="I28" s="298">
        <f>Меню!L324</f>
        <v>15</v>
      </c>
      <c r="J28" s="298">
        <f>Меню!L447</f>
        <v>0</v>
      </c>
      <c r="K28" s="298">
        <f>Меню!L538</f>
        <v>15</v>
      </c>
      <c r="L28" s="298">
        <f>Меню!L679</f>
        <v>0</v>
      </c>
      <c r="M28" s="298">
        <f>Меню!L771</f>
        <v>5</v>
      </c>
      <c r="N28" s="298">
        <f>Меню!L883</f>
        <v>13</v>
      </c>
      <c r="O28" s="298">
        <f>Меню!L960</f>
        <v>19</v>
      </c>
      <c r="P28" s="298">
        <f t="shared" si="1"/>
        <v>93.5</v>
      </c>
      <c r="Q28" s="300">
        <f t="shared" si="2"/>
        <v>9.35</v>
      </c>
      <c r="R28" s="324">
        <f t="shared" si="3"/>
        <v>100</v>
      </c>
    </row>
    <row r="29" spans="1:18" ht="12.75">
      <c r="A29" s="296">
        <f t="shared" si="4"/>
        <v>25</v>
      </c>
      <c r="B29" s="296" t="s">
        <v>178</v>
      </c>
      <c r="C29" s="304">
        <v>10</v>
      </c>
      <c r="D29" s="300">
        <v>63</v>
      </c>
      <c r="E29" s="327">
        <f t="shared" si="0"/>
        <v>6.3</v>
      </c>
      <c r="F29" s="298">
        <f>Меню!L32</f>
        <v>0</v>
      </c>
      <c r="G29" s="298">
        <f>Меню!L131</f>
        <v>5</v>
      </c>
      <c r="H29" s="298">
        <f>Меню!L230</f>
        <v>15</v>
      </c>
      <c r="I29" s="298">
        <f>Меню!L325</f>
        <v>6</v>
      </c>
      <c r="J29" s="298">
        <f>Меню!L448</f>
        <v>4</v>
      </c>
      <c r="K29" s="298">
        <f>Меню!L539</f>
        <v>15</v>
      </c>
      <c r="L29" s="298">
        <f>Меню!L680</f>
        <v>0</v>
      </c>
      <c r="M29" s="298">
        <f>Меню!L772</f>
        <v>0</v>
      </c>
      <c r="N29" s="298">
        <f>Меню!L884</f>
        <v>0</v>
      </c>
      <c r="O29" s="298">
        <f>Меню!L961</f>
        <v>18</v>
      </c>
      <c r="P29" s="298">
        <f t="shared" si="1"/>
        <v>63</v>
      </c>
      <c r="Q29" s="300">
        <f t="shared" si="2"/>
        <v>6.3</v>
      </c>
      <c r="R29" s="324">
        <f t="shared" si="3"/>
        <v>100</v>
      </c>
    </row>
    <row r="30" spans="1:18" ht="13.5" customHeight="1">
      <c r="A30" s="296">
        <f t="shared" si="4"/>
        <v>26</v>
      </c>
      <c r="B30" s="296" t="s">
        <v>32</v>
      </c>
      <c r="C30" s="324">
        <v>30</v>
      </c>
      <c r="D30" s="300">
        <v>65</v>
      </c>
      <c r="E30" s="326">
        <f t="shared" si="0"/>
        <v>19.5</v>
      </c>
      <c r="F30" s="298">
        <f>Меню!L33</f>
        <v>15</v>
      </c>
      <c r="G30" s="298">
        <f>Меню!L132</f>
        <v>19</v>
      </c>
      <c r="H30" s="298">
        <f>Меню!L231</f>
        <v>8</v>
      </c>
      <c r="I30" s="298">
        <f>Меню!L326</f>
        <v>28</v>
      </c>
      <c r="J30" s="298">
        <f>Меню!L449</f>
        <v>16</v>
      </c>
      <c r="K30" s="298">
        <f>Меню!L540</f>
        <v>15</v>
      </c>
      <c r="L30" s="298">
        <f>Меню!L681</f>
        <v>14</v>
      </c>
      <c r="M30" s="298">
        <f>Меню!L773</f>
        <v>10</v>
      </c>
      <c r="N30" s="298">
        <f>Меню!L885</f>
        <v>27.5</v>
      </c>
      <c r="O30" s="298">
        <f>Меню!L962</f>
        <v>43</v>
      </c>
      <c r="P30" s="298">
        <f t="shared" si="1"/>
        <v>195.5</v>
      </c>
      <c r="Q30" s="300">
        <f t="shared" si="2"/>
        <v>19.55</v>
      </c>
      <c r="R30" s="324">
        <f t="shared" si="3"/>
        <v>100.25641025641026</v>
      </c>
    </row>
    <row r="31" spans="1:18" ht="13.5" customHeight="1">
      <c r="A31" s="296">
        <f t="shared" si="4"/>
        <v>27</v>
      </c>
      <c r="B31" s="296" t="s">
        <v>33</v>
      </c>
      <c r="C31" s="304">
        <v>15</v>
      </c>
      <c r="D31" s="300">
        <v>73</v>
      </c>
      <c r="E31" s="327">
        <f t="shared" si="0"/>
        <v>10.95</v>
      </c>
      <c r="F31" s="298">
        <f>Меню!L34</f>
        <v>11</v>
      </c>
      <c r="G31" s="298">
        <f>Меню!L133</f>
        <v>13</v>
      </c>
      <c r="H31" s="298">
        <f>Меню!L232</f>
        <v>13</v>
      </c>
      <c r="I31" s="298">
        <f>Меню!L327</f>
        <v>8</v>
      </c>
      <c r="J31" s="298">
        <f>Меню!L450</f>
        <v>10.5</v>
      </c>
      <c r="K31" s="298">
        <f>Меню!L541</f>
        <v>11</v>
      </c>
      <c r="L31" s="298">
        <f>Меню!L682</f>
        <v>10</v>
      </c>
      <c r="M31" s="298">
        <f>Меню!L774</f>
        <v>19</v>
      </c>
      <c r="N31" s="298">
        <f>Меню!L886</f>
        <v>7</v>
      </c>
      <c r="O31" s="298">
        <f>Меню!L963</f>
        <v>7.5</v>
      </c>
      <c r="P31" s="298">
        <f t="shared" si="1"/>
        <v>110</v>
      </c>
      <c r="Q31" s="300">
        <f t="shared" si="2"/>
        <v>11</v>
      </c>
      <c r="R31" s="324">
        <f t="shared" si="3"/>
        <v>100.45662100456622</v>
      </c>
    </row>
    <row r="32" spans="1:18" s="63" customFormat="1" ht="13.5" customHeight="1">
      <c r="A32" s="296">
        <f t="shared" si="4"/>
        <v>28</v>
      </c>
      <c r="B32" s="296" t="s">
        <v>179</v>
      </c>
      <c r="C32" s="304">
        <v>40</v>
      </c>
      <c r="D32" s="300">
        <v>87</v>
      </c>
      <c r="E32" s="326">
        <f t="shared" si="0"/>
        <v>34.8</v>
      </c>
      <c r="F32" s="298">
        <f>Меню!L35</f>
        <v>125</v>
      </c>
      <c r="G32" s="298">
        <f>Меню!L134</f>
        <v>30.2</v>
      </c>
      <c r="H32" s="298">
        <f>Меню!L233</f>
        <v>4</v>
      </c>
      <c r="I32" s="298">
        <f>Меню!L328</f>
        <v>10.5</v>
      </c>
      <c r="J32" s="298">
        <f>Меню!L451</f>
        <v>4</v>
      </c>
      <c r="K32" s="298">
        <f>Меню!L542</f>
        <v>11.5</v>
      </c>
      <c r="L32" s="298">
        <f>Меню!L683</f>
        <v>126.8</v>
      </c>
      <c r="M32" s="298">
        <f>Меню!L775</f>
        <v>6.5</v>
      </c>
      <c r="N32" s="298">
        <f>Меню!L887</f>
        <v>8</v>
      </c>
      <c r="O32" s="298">
        <f>Меню!L964</f>
        <v>22.5</v>
      </c>
      <c r="P32" s="298">
        <f t="shared" si="1"/>
        <v>349</v>
      </c>
      <c r="Q32" s="300">
        <f t="shared" si="2"/>
        <v>34.9</v>
      </c>
      <c r="R32" s="324">
        <f t="shared" si="3"/>
        <v>100.28735632183908</v>
      </c>
    </row>
    <row r="33" spans="1:18" s="63" customFormat="1" ht="13.5" customHeight="1">
      <c r="A33" s="296">
        <v>29</v>
      </c>
      <c r="B33" s="296" t="s">
        <v>334</v>
      </c>
      <c r="C33" s="304">
        <v>3</v>
      </c>
      <c r="D33" s="299">
        <v>40</v>
      </c>
      <c r="E33" s="327">
        <f t="shared" si="0"/>
        <v>1.2</v>
      </c>
      <c r="F33" s="298">
        <f>Меню!L36</f>
        <v>0</v>
      </c>
      <c r="G33" s="298">
        <f>Меню!L135</f>
        <v>0</v>
      </c>
      <c r="H33" s="298">
        <f>Меню!L234</f>
        <v>6</v>
      </c>
      <c r="I33" s="298">
        <f>Меню!L329</f>
        <v>0</v>
      </c>
      <c r="J33" s="298">
        <f>Меню!L452</f>
        <v>0</v>
      </c>
      <c r="K33" s="298">
        <f>Меню!L543</f>
        <v>0</v>
      </c>
      <c r="L33" s="298">
        <f>Меню!L684</f>
        <v>0</v>
      </c>
      <c r="M33" s="298">
        <f>Меню!L776</f>
        <v>0</v>
      </c>
      <c r="N33" s="298">
        <f>Меню!L888</f>
        <v>6</v>
      </c>
      <c r="O33" s="298">
        <f>Меню!L965</f>
        <v>0</v>
      </c>
      <c r="P33" s="298">
        <f t="shared" si="1"/>
        <v>12</v>
      </c>
      <c r="Q33" s="300">
        <f t="shared" si="2"/>
        <v>1.2</v>
      </c>
      <c r="R33" s="324">
        <f t="shared" si="3"/>
        <v>100</v>
      </c>
    </row>
    <row r="34" spans="1:18" ht="13.5" customHeight="1">
      <c r="A34" s="296">
        <v>30</v>
      </c>
      <c r="B34" s="301" t="s">
        <v>181</v>
      </c>
      <c r="C34" s="304">
        <v>3</v>
      </c>
      <c r="D34" s="297">
        <v>50</v>
      </c>
      <c r="E34" s="327">
        <f t="shared" si="0"/>
        <v>1.5</v>
      </c>
      <c r="F34" s="309">
        <f>Меню!L37</f>
        <v>1.5</v>
      </c>
      <c r="G34" s="309">
        <f>Меню!L136</f>
        <v>1.5</v>
      </c>
      <c r="H34" s="309">
        <f>Меню!L235</f>
        <v>1.5</v>
      </c>
      <c r="I34" s="309">
        <f>Меню!L330</f>
        <v>1.5</v>
      </c>
      <c r="J34" s="309">
        <f>Меню!L453</f>
        <v>1.5</v>
      </c>
      <c r="K34" s="309">
        <f>Меню!L544</f>
        <v>1.5</v>
      </c>
      <c r="L34" s="309">
        <f>Меню!L685</f>
        <v>1.5</v>
      </c>
      <c r="M34" s="309">
        <f>Меню!L777</f>
        <v>1.5</v>
      </c>
      <c r="N34" s="309">
        <f>Меню!L889</f>
        <v>1.5</v>
      </c>
      <c r="O34" s="309">
        <f>Меню!L966</f>
        <v>1.5</v>
      </c>
      <c r="P34" s="298">
        <f t="shared" si="1"/>
        <v>15</v>
      </c>
      <c r="Q34" s="300">
        <f t="shared" si="2"/>
        <v>1.5</v>
      </c>
      <c r="R34" s="324">
        <f t="shared" si="3"/>
        <v>100</v>
      </c>
    </row>
    <row r="35" spans="1:18" ht="13.5" customHeight="1">
      <c r="A35" s="296">
        <v>31</v>
      </c>
      <c r="B35" s="296" t="s">
        <v>180</v>
      </c>
      <c r="C35" s="304">
        <v>2</v>
      </c>
      <c r="D35" s="297">
        <v>50</v>
      </c>
      <c r="E35" s="326">
        <f t="shared" si="0"/>
        <v>1</v>
      </c>
      <c r="F35" s="309">
        <f>Меню!L38</f>
        <v>1</v>
      </c>
      <c r="G35" s="309">
        <f>Меню!L137</f>
        <v>1</v>
      </c>
      <c r="H35" s="309">
        <f>Меню!L236</f>
        <v>1</v>
      </c>
      <c r="I35" s="309">
        <f>Меню!L331</f>
        <v>1</v>
      </c>
      <c r="J35" s="309">
        <f>Меню!L454</f>
        <v>1</v>
      </c>
      <c r="K35" s="309">
        <f>Меню!L545</f>
        <v>1</v>
      </c>
      <c r="L35" s="309">
        <f>Меню!L686</f>
        <v>1</v>
      </c>
      <c r="M35" s="309">
        <f>Меню!L778</f>
        <v>1</v>
      </c>
      <c r="N35" s="309">
        <f>Меню!L890</f>
        <v>1</v>
      </c>
      <c r="O35" s="309">
        <f>Меню!L967</f>
        <v>1</v>
      </c>
      <c r="P35" s="298">
        <f t="shared" si="1"/>
        <v>10</v>
      </c>
      <c r="Q35" s="300">
        <f t="shared" si="2"/>
        <v>1</v>
      </c>
      <c r="R35" s="324">
        <f t="shared" si="3"/>
        <v>100</v>
      </c>
    </row>
    <row r="36" spans="1:18" ht="21.75" customHeight="1">
      <c r="A36" s="507" t="s">
        <v>200</v>
      </c>
      <c r="B36" s="507"/>
      <c r="C36" s="507"/>
      <c r="D36" s="507"/>
      <c r="E36" s="507"/>
      <c r="F36" s="507"/>
      <c r="G36" s="507"/>
      <c r="H36" s="507"/>
      <c r="I36" s="507"/>
      <c r="J36" s="507"/>
      <c r="K36" s="507"/>
      <c r="L36" s="507"/>
      <c r="M36" s="507"/>
      <c r="N36" s="507"/>
      <c r="O36" s="507"/>
      <c r="P36" s="507"/>
      <c r="Q36" s="507"/>
      <c r="R36" s="507"/>
    </row>
  </sheetData>
  <sheetProtection password="CF52" sheet="1"/>
  <mergeCells count="11">
    <mergeCell ref="C2:C4"/>
    <mergeCell ref="P2:P4"/>
    <mergeCell ref="F3:O3"/>
    <mergeCell ref="F2:O2"/>
    <mergeCell ref="A36:R36"/>
    <mergeCell ref="A1:R1"/>
    <mergeCell ref="Q2:Q4"/>
    <mergeCell ref="R2:R4"/>
    <mergeCell ref="E2:E4"/>
    <mergeCell ref="A2:A4"/>
    <mergeCell ref="B2:B4"/>
  </mergeCells>
  <conditionalFormatting sqref="R5:R35">
    <cfRule type="cellIs" priority="1" dxfId="0" operator="lessThan" stopIfTrue="1">
      <formula>95</formula>
    </cfRule>
    <cfRule type="cellIs" priority="2" dxfId="0" operator="greaterThan" stopIfTrue="1">
      <formula>105</formula>
    </cfRule>
    <cfRule type="cellIs" priority="3" dxfId="0" operator="greaterThan" stopIfTrue="1">
      <formula>105.49</formula>
    </cfRule>
  </conditionalFormatting>
  <printOptions horizontalCentered="1"/>
  <pageMargins left="0.3937007874015748" right="0" top="0.5905511811023623" bottom="0.5905511811023623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21"/>
  <sheetViews>
    <sheetView zoomScalePageLayoutView="0" workbookViewId="0" topLeftCell="A1">
      <selection activeCell="A1" sqref="A1:G20"/>
    </sheetView>
  </sheetViews>
  <sheetFormatPr defaultColWidth="9.140625" defaultRowHeight="12.75"/>
  <cols>
    <col min="1" max="1" width="40.421875" style="457" customWidth="1"/>
    <col min="2" max="2" width="19.140625" style="457" customWidth="1"/>
    <col min="3" max="3" width="16.28125" style="457" customWidth="1"/>
    <col min="4" max="4" width="19.421875" style="212" customWidth="1"/>
    <col min="5" max="5" width="16.28125" style="212" customWidth="1"/>
    <col min="6" max="6" width="18.28125" style="212" customWidth="1"/>
    <col min="7" max="7" width="15.7109375" style="212" customWidth="1"/>
    <col min="8" max="8" width="9.140625" style="440" customWidth="1"/>
    <col min="9" max="9" width="15.7109375" style="440" customWidth="1"/>
    <col min="10" max="65" width="9.140625" style="440" customWidth="1"/>
    <col min="66" max="16384" width="9.140625" style="212" customWidth="1"/>
  </cols>
  <sheetData>
    <row r="1" spans="1:7" ht="27.75" customHeight="1" thickBot="1">
      <c r="A1" s="514" t="s">
        <v>204</v>
      </c>
      <c r="B1" s="514"/>
      <c r="C1" s="514"/>
      <c r="D1" s="514"/>
      <c r="E1" s="514"/>
      <c r="F1" s="514"/>
      <c r="G1" s="514"/>
    </row>
    <row r="2" spans="1:66" s="444" customFormat="1" ht="19.5" customHeight="1">
      <c r="A2" s="515" t="s">
        <v>93</v>
      </c>
      <c r="B2" s="441" t="s">
        <v>106</v>
      </c>
      <c r="C2" s="517" t="s">
        <v>35</v>
      </c>
      <c r="D2" s="441" t="s">
        <v>63</v>
      </c>
      <c r="E2" s="517" t="s">
        <v>35</v>
      </c>
      <c r="F2" s="442" t="s">
        <v>79</v>
      </c>
      <c r="G2" s="512" t="s">
        <v>35</v>
      </c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440"/>
      <c r="AG2" s="440"/>
      <c r="AH2" s="440"/>
      <c r="AI2" s="440"/>
      <c r="AJ2" s="440"/>
      <c r="AK2" s="440"/>
      <c r="AL2" s="440"/>
      <c r="AM2" s="440"/>
      <c r="AN2" s="440"/>
      <c r="AO2" s="440"/>
      <c r="AP2" s="440"/>
      <c r="AQ2" s="440"/>
      <c r="AR2" s="440"/>
      <c r="AS2" s="440"/>
      <c r="AT2" s="440"/>
      <c r="AU2" s="440"/>
      <c r="AV2" s="440"/>
      <c r="AW2" s="440"/>
      <c r="AX2" s="440"/>
      <c r="AY2" s="440"/>
      <c r="AZ2" s="440"/>
      <c r="BA2" s="440"/>
      <c r="BB2" s="440"/>
      <c r="BC2" s="440"/>
      <c r="BD2" s="440"/>
      <c r="BE2" s="440"/>
      <c r="BF2" s="440"/>
      <c r="BG2" s="440"/>
      <c r="BH2" s="440"/>
      <c r="BI2" s="440"/>
      <c r="BJ2" s="440"/>
      <c r="BK2" s="440"/>
      <c r="BL2" s="440"/>
      <c r="BM2" s="440"/>
      <c r="BN2" s="443"/>
    </row>
    <row r="3" spans="1:66" s="444" customFormat="1" ht="19.5" customHeight="1">
      <c r="A3" s="516"/>
      <c r="B3" s="446" t="s">
        <v>131</v>
      </c>
      <c r="C3" s="518"/>
      <c r="D3" s="446" t="s">
        <v>133</v>
      </c>
      <c r="E3" s="518"/>
      <c r="F3" s="446" t="s">
        <v>153</v>
      </c>
      <c r="G3" s="513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440"/>
      <c r="Z3" s="440"/>
      <c r="AA3" s="440"/>
      <c r="AB3" s="440"/>
      <c r="AC3" s="440"/>
      <c r="AD3" s="440"/>
      <c r="AE3" s="440"/>
      <c r="AF3" s="440"/>
      <c r="AG3" s="440"/>
      <c r="AH3" s="440"/>
      <c r="AI3" s="440"/>
      <c r="AJ3" s="440"/>
      <c r="AK3" s="440"/>
      <c r="AL3" s="440"/>
      <c r="AM3" s="440"/>
      <c r="AN3" s="440"/>
      <c r="AO3" s="440"/>
      <c r="AP3" s="440"/>
      <c r="AQ3" s="440"/>
      <c r="AR3" s="440"/>
      <c r="AS3" s="440"/>
      <c r="AT3" s="440"/>
      <c r="AU3" s="440"/>
      <c r="AV3" s="440"/>
      <c r="AW3" s="440"/>
      <c r="AX3" s="440"/>
      <c r="AY3" s="440"/>
      <c r="AZ3" s="440"/>
      <c r="BA3" s="440"/>
      <c r="BB3" s="440"/>
      <c r="BC3" s="440"/>
      <c r="BD3" s="440"/>
      <c r="BE3" s="440"/>
      <c r="BF3" s="440"/>
      <c r="BG3" s="440"/>
      <c r="BH3" s="440"/>
      <c r="BI3" s="440"/>
      <c r="BJ3" s="440"/>
      <c r="BK3" s="440"/>
      <c r="BL3" s="440"/>
      <c r="BM3" s="440"/>
      <c r="BN3" s="443"/>
    </row>
    <row r="4" spans="1:66" s="444" customFormat="1" ht="19.5" customHeight="1">
      <c r="A4" s="516"/>
      <c r="B4" s="447" t="s">
        <v>132</v>
      </c>
      <c r="C4" s="518"/>
      <c r="D4" s="447" t="s">
        <v>134</v>
      </c>
      <c r="E4" s="518"/>
      <c r="F4" s="448" t="s">
        <v>158</v>
      </c>
      <c r="G4" s="513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  <c r="Z4" s="440"/>
      <c r="AA4" s="440"/>
      <c r="AB4" s="440"/>
      <c r="AC4" s="440"/>
      <c r="AD4" s="440"/>
      <c r="AE4" s="440"/>
      <c r="AF4" s="440"/>
      <c r="AG4" s="440"/>
      <c r="AH4" s="440"/>
      <c r="AI4" s="440"/>
      <c r="AJ4" s="440"/>
      <c r="AK4" s="440"/>
      <c r="AL4" s="440"/>
      <c r="AM4" s="440"/>
      <c r="AN4" s="440"/>
      <c r="AO4" s="440"/>
      <c r="AP4" s="440"/>
      <c r="AQ4" s="440"/>
      <c r="AR4" s="440"/>
      <c r="AS4" s="440"/>
      <c r="AT4" s="440"/>
      <c r="AU4" s="440"/>
      <c r="AV4" s="440"/>
      <c r="AW4" s="440"/>
      <c r="AX4" s="440"/>
      <c r="AY4" s="440"/>
      <c r="AZ4" s="440"/>
      <c r="BA4" s="440"/>
      <c r="BB4" s="440"/>
      <c r="BC4" s="440"/>
      <c r="BD4" s="440"/>
      <c r="BE4" s="440"/>
      <c r="BF4" s="440"/>
      <c r="BG4" s="440"/>
      <c r="BH4" s="440"/>
      <c r="BI4" s="440"/>
      <c r="BJ4" s="440"/>
      <c r="BK4" s="440"/>
      <c r="BL4" s="440"/>
      <c r="BM4" s="440"/>
      <c r="BN4" s="443"/>
    </row>
    <row r="5" spans="1:66" s="444" customFormat="1" ht="24.75" customHeight="1">
      <c r="A5" s="449" t="s">
        <v>40</v>
      </c>
      <c r="B5" s="450">
        <f>Меню!H8</f>
        <v>565.4</v>
      </c>
      <c r="C5" s="450">
        <f>B5*100/2350</f>
        <v>24.059574468085106</v>
      </c>
      <c r="D5" s="450">
        <f>Меню!H40</f>
        <v>789.1666666666667</v>
      </c>
      <c r="E5" s="450">
        <f>D5*100/2350</f>
        <v>33.58156028368794</v>
      </c>
      <c r="F5" s="450">
        <f>Меню!H101</f>
        <v>1354.5666666666666</v>
      </c>
      <c r="G5" s="451">
        <f>F5*100/2350</f>
        <v>57.641134751773045</v>
      </c>
      <c r="H5" s="440"/>
      <c r="I5" s="440"/>
      <c r="J5" s="440"/>
      <c r="K5" s="440"/>
      <c r="L5" s="440"/>
      <c r="M5" s="440"/>
      <c r="N5" s="440"/>
      <c r="O5" s="440"/>
      <c r="P5" s="440"/>
      <c r="Q5" s="440"/>
      <c r="R5" s="440"/>
      <c r="S5" s="440"/>
      <c r="T5" s="440"/>
      <c r="U5" s="440"/>
      <c r="V5" s="440"/>
      <c r="W5" s="440"/>
      <c r="X5" s="440"/>
      <c r="Y5" s="440"/>
      <c r="Z5" s="440"/>
      <c r="AA5" s="440"/>
      <c r="AB5" s="440"/>
      <c r="AC5" s="440"/>
      <c r="AD5" s="440"/>
      <c r="AE5" s="440"/>
      <c r="AF5" s="440"/>
      <c r="AG5" s="440"/>
      <c r="AH5" s="440"/>
      <c r="AI5" s="440"/>
      <c r="AJ5" s="440"/>
      <c r="AK5" s="440"/>
      <c r="AL5" s="440"/>
      <c r="AM5" s="440"/>
      <c r="AN5" s="440"/>
      <c r="AO5" s="440"/>
      <c r="AP5" s="440"/>
      <c r="AQ5" s="440"/>
      <c r="AR5" s="440"/>
      <c r="AS5" s="440"/>
      <c r="AT5" s="440"/>
      <c r="AU5" s="440"/>
      <c r="AV5" s="440"/>
      <c r="AW5" s="440"/>
      <c r="AX5" s="440"/>
      <c r="AY5" s="440"/>
      <c r="AZ5" s="440"/>
      <c r="BA5" s="440"/>
      <c r="BB5" s="440"/>
      <c r="BC5" s="440"/>
      <c r="BD5" s="440"/>
      <c r="BE5" s="440"/>
      <c r="BF5" s="440"/>
      <c r="BG5" s="440"/>
      <c r="BH5" s="440"/>
      <c r="BI5" s="440"/>
      <c r="BJ5" s="440"/>
      <c r="BK5" s="440"/>
      <c r="BL5" s="440"/>
      <c r="BM5" s="440"/>
      <c r="BN5" s="443"/>
    </row>
    <row r="6" spans="1:66" s="444" customFormat="1" ht="24.75" customHeight="1">
      <c r="A6" s="449" t="s">
        <v>41</v>
      </c>
      <c r="B6" s="450">
        <f>Меню!H105</f>
        <v>532.9</v>
      </c>
      <c r="C6" s="450">
        <f>B6*100/2350</f>
        <v>22.676595744680853</v>
      </c>
      <c r="D6" s="450">
        <f>Меню!H138</f>
        <v>823.4</v>
      </c>
      <c r="E6" s="450">
        <f>D6*100/2350</f>
        <v>35.03829787234042</v>
      </c>
      <c r="F6" s="450">
        <f>Меню!H201</f>
        <v>1356.3</v>
      </c>
      <c r="G6" s="451">
        <f>F6*100/2350</f>
        <v>57.714893617021275</v>
      </c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440"/>
      <c r="S6" s="440"/>
      <c r="T6" s="440"/>
      <c r="U6" s="440"/>
      <c r="V6" s="440"/>
      <c r="W6" s="440"/>
      <c r="X6" s="440"/>
      <c r="Y6" s="440"/>
      <c r="Z6" s="440"/>
      <c r="AA6" s="440"/>
      <c r="AB6" s="440"/>
      <c r="AC6" s="440"/>
      <c r="AD6" s="440"/>
      <c r="AE6" s="440"/>
      <c r="AF6" s="440"/>
      <c r="AG6" s="440"/>
      <c r="AH6" s="440"/>
      <c r="AI6" s="440"/>
      <c r="AJ6" s="440"/>
      <c r="AK6" s="440"/>
      <c r="AL6" s="440"/>
      <c r="AM6" s="440"/>
      <c r="AN6" s="440"/>
      <c r="AO6" s="440"/>
      <c r="AP6" s="440"/>
      <c r="AQ6" s="440"/>
      <c r="AR6" s="440"/>
      <c r="AS6" s="440"/>
      <c r="AT6" s="440"/>
      <c r="AU6" s="440"/>
      <c r="AV6" s="440"/>
      <c r="AW6" s="440"/>
      <c r="AX6" s="440"/>
      <c r="AY6" s="440"/>
      <c r="AZ6" s="440"/>
      <c r="BA6" s="440"/>
      <c r="BB6" s="440"/>
      <c r="BC6" s="440"/>
      <c r="BD6" s="440"/>
      <c r="BE6" s="440"/>
      <c r="BF6" s="440"/>
      <c r="BG6" s="440"/>
      <c r="BH6" s="440"/>
      <c r="BI6" s="440"/>
      <c r="BJ6" s="440"/>
      <c r="BK6" s="440"/>
      <c r="BL6" s="440"/>
      <c r="BM6" s="440"/>
      <c r="BN6" s="443"/>
    </row>
    <row r="7" spans="1:66" s="444" customFormat="1" ht="24.75" customHeight="1">
      <c r="A7" s="449" t="s">
        <v>42</v>
      </c>
      <c r="B7" s="450">
        <f>Меню!H205</f>
        <v>566.725</v>
      </c>
      <c r="C7" s="450">
        <f>B7*100/2350</f>
        <v>24.115957446808512</v>
      </c>
      <c r="D7" s="450">
        <f>Меню!H241</f>
        <v>717.9333333333333</v>
      </c>
      <c r="E7" s="450">
        <f>D7*100/2350</f>
        <v>30.550354609929077</v>
      </c>
      <c r="F7" s="450">
        <f>Меню!H298</f>
        <v>1284.6583333333333</v>
      </c>
      <c r="G7" s="451">
        <f>F7*100/2350</f>
        <v>54.66631205673759</v>
      </c>
      <c r="H7" s="440"/>
      <c r="I7" s="440"/>
      <c r="J7" s="440"/>
      <c r="K7" s="440"/>
      <c r="L7" s="440"/>
      <c r="M7" s="440"/>
      <c r="N7" s="440"/>
      <c r="O7" s="440"/>
      <c r="P7" s="440"/>
      <c r="Q7" s="440"/>
      <c r="R7" s="440"/>
      <c r="S7" s="440"/>
      <c r="T7" s="440"/>
      <c r="U7" s="440"/>
      <c r="V7" s="440"/>
      <c r="W7" s="440"/>
      <c r="X7" s="440"/>
      <c r="Y7" s="440"/>
      <c r="Z7" s="440"/>
      <c r="AA7" s="440"/>
      <c r="AB7" s="440"/>
      <c r="AC7" s="440"/>
      <c r="AD7" s="440"/>
      <c r="AE7" s="440"/>
      <c r="AF7" s="440"/>
      <c r="AG7" s="440"/>
      <c r="AH7" s="440"/>
      <c r="AI7" s="440"/>
      <c r="AJ7" s="440"/>
      <c r="AK7" s="440"/>
      <c r="AL7" s="440"/>
      <c r="AM7" s="440"/>
      <c r="AN7" s="440"/>
      <c r="AO7" s="440"/>
      <c r="AP7" s="440"/>
      <c r="AQ7" s="440"/>
      <c r="AR7" s="440"/>
      <c r="AS7" s="440"/>
      <c r="AT7" s="440"/>
      <c r="AU7" s="440"/>
      <c r="AV7" s="440"/>
      <c r="AW7" s="440"/>
      <c r="AX7" s="440"/>
      <c r="AY7" s="440"/>
      <c r="AZ7" s="440"/>
      <c r="BA7" s="440"/>
      <c r="BB7" s="440"/>
      <c r="BC7" s="440"/>
      <c r="BD7" s="440"/>
      <c r="BE7" s="440"/>
      <c r="BF7" s="440"/>
      <c r="BG7" s="440"/>
      <c r="BH7" s="440"/>
      <c r="BI7" s="440"/>
      <c r="BJ7" s="440"/>
      <c r="BK7" s="440"/>
      <c r="BL7" s="440"/>
      <c r="BM7" s="440"/>
      <c r="BN7" s="443"/>
    </row>
    <row r="8" spans="1:66" s="444" customFormat="1" ht="24.75" customHeight="1">
      <c r="A8" s="449" t="s">
        <v>43</v>
      </c>
      <c r="B8" s="450">
        <f>Меню!H302</f>
        <v>550.8</v>
      </c>
      <c r="C8" s="450">
        <f>B8*100/2350</f>
        <v>23.43829787234042</v>
      </c>
      <c r="D8" s="450">
        <f>Меню!H368</f>
        <v>805.3</v>
      </c>
      <c r="E8" s="450">
        <f>D8*100/2350</f>
        <v>34.268085106382976</v>
      </c>
      <c r="F8" s="450">
        <f>Меню!H418</f>
        <v>1356.1</v>
      </c>
      <c r="G8" s="451">
        <f>F8*100/2350</f>
        <v>57.706382978723404</v>
      </c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0"/>
      <c r="V8" s="440"/>
      <c r="W8" s="440"/>
      <c r="X8" s="440"/>
      <c r="Y8" s="440"/>
      <c r="Z8" s="440"/>
      <c r="AA8" s="440"/>
      <c r="AB8" s="440"/>
      <c r="AC8" s="440"/>
      <c r="AD8" s="440"/>
      <c r="AE8" s="440"/>
      <c r="AF8" s="440"/>
      <c r="AG8" s="440"/>
      <c r="AH8" s="440"/>
      <c r="AI8" s="440"/>
      <c r="AJ8" s="440"/>
      <c r="AK8" s="440"/>
      <c r="AL8" s="440"/>
      <c r="AM8" s="440"/>
      <c r="AN8" s="440"/>
      <c r="AO8" s="440"/>
      <c r="AP8" s="440"/>
      <c r="AQ8" s="440"/>
      <c r="AR8" s="440"/>
      <c r="AS8" s="440"/>
      <c r="AT8" s="440"/>
      <c r="AU8" s="440"/>
      <c r="AV8" s="440"/>
      <c r="AW8" s="440"/>
      <c r="AX8" s="440"/>
      <c r="AY8" s="440"/>
      <c r="AZ8" s="440"/>
      <c r="BA8" s="440"/>
      <c r="BB8" s="440"/>
      <c r="BC8" s="440"/>
      <c r="BD8" s="440"/>
      <c r="BE8" s="440"/>
      <c r="BF8" s="440"/>
      <c r="BG8" s="440"/>
      <c r="BH8" s="440"/>
      <c r="BI8" s="440"/>
      <c r="BJ8" s="440"/>
      <c r="BK8" s="440"/>
      <c r="BL8" s="440"/>
      <c r="BM8" s="440"/>
      <c r="BN8" s="443"/>
    </row>
    <row r="9" spans="1:66" s="444" customFormat="1" ht="24.75" customHeight="1">
      <c r="A9" s="449" t="s">
        <v>44</v>
      </c>
      <c r="B9" s="450">
        <f>Меню!H422</f>
        <v>480.2</v>
      </c>
      <c r="C9" s="450">
        <f>B9*100/2350</f>
        <v>20.43404255319149</v>
      </c>
      <c r="D9" s="450">
        <f>Меню!H441</f>
        <v>793.5813333333334</v>
      </c>
      <c r="E9" s="450">
        <f>D9*100/2350</f>
        <v>33.76941843971632</v>
      </c>
      <c r="F9" s="450">
        <f>Меню!H507</f>
        <v>1273.7813333333334</v>
      </c>
      <c r="G9" s="451">
        <f>F9*100/2350</f>
        <v>54.2034609929078</v>
      </c>
      <c r="H9" s="440"/>
      <c r="I9" s="440"/>
      <c r="J9" s="440"/>
      <c r="K9" s="440"/>
      <c r="L9" s="440"/>
      <c r="M9" s="440"/>
      <c r="N9" s="440"/>
      <c r="O9" s="440"/>
      <c r="P9" s="440"/>
      <c r="Q9" s="440"/>
      <c r="R9" s="440"/>
      <c r="S9" s="440"/>
      <c r="T9" s="440"/>
      <c r="U9" s="440"/>
      <c r="V9" s="440"/>
      <c r="W9" s="440"/>
      <c r="X9" s="440"/>
      <c r="Y9" s="440"/>
      <c r="Z9" s="440"/>
      <c r="AA9" s="440"/>
      <c r="AB9" s="440"/>
      <c r="AC9" s="440"/>
      <c r="AD9" s="440"/>
      <c r="AE9" s="440"/>
      <c r="AF9" s="440"/>
      <c r="AG9" s="440"/>
      <c r="AH9" s="440"/>
      <c r="AI9" s="440"/>
      <c r="AJ9" s="440"/>
      <c r="AK9" s="440"/>
      <c r="AL9" s="440"/>
      <c r="AM9" s="440"/>
      <c r="AN9" s="440"/>
      <c r="AO9" s="440"/>
      <c r="AP9" s="440"/>
      <c r="AQ9" s="440"/>
      <c r="AR9" s="440"/>
      <c r="AS9" s="440"/>
      <c r="AT9" s="440"/>
      <c r="AU9" s="440"/>
      <c r="AV9" s="440"/>
      <c r="AW9" s="440"/>
      <c r="AX9" s="440"/>
      <c r="AY9" s="440"/>
      <c r="AZ9" s="440"/>
      <c r="BA9" s="440"/>
      <c r="BB9" s="440"/>
      <c r="BC9" s="440"/>
      <c r="BD9" s="440"/>
      <c r="BE9" s="440"/>
      <c r="BF9" s="440"/>
      <c r="BG9" s="440"/>
      <c r="BH9" s="440"/>
      <c r="BI9" s="440"/>
      <c r="BJ9" s="440"/>
      <c r="BK9" s="440"/>
      <c r="BL9" s="440"/>
      <c r="BM9" s="440"/>
      <c r="BN9" s="443"/>
    </row>
    <row r="10" spans="1:66" s="444" customFormat="1" ht="24.75" customHeight="1">
      <c r="A10" s="445" t="s">
        <v>184</v>
      </c>
      <c r="B10" s="452">
        <f aca="true" t="shared" si="0" ref="B10:G10">SUM(B5:B9)/5</f>
        <v>539.2049999999999</v>
      </c>
      <c r="C10" s="452">
        <f t="shared" si="0"/>
        <v>22.944893617021272</v>
      </c>
      <c r="D10" s="452">
        <f t="shared" si="0"/>
        <v>785.8762666666668</v>
      </c>
      <c r="E10" s="452">
        <f t="shared" si="0"/>
        <v>33.441543262411344</v>
      </c>
      <c r="F10" s="452">
        <f t="shared" si="0"/>
        <v>1325.0812666666666</v>
      </c>
      <c r="G10" s="453">
        <f t="shared" si="0"/>
        <v>56.38643687943262</v>
      </c>
      <c r="H10" s="440"/>
      <c r="I10" s="440"/>
      <c r="J10" s="440"/>
      <c r="K10" s="440"/>
      <c r="L10" s="440"/>
      <c r="M10" s="440"/>
      <c r="N10" s="440"/>
      <c r="O10" s="440"/>
      <c r="P10" s="440"/>
      <c r="Q10" s="440"/>
      <c r="R10" s="440"/>
      <c r="S10" s="440"/>
      <c r="T10" s="440"/>
      <c r="U10" s="440"/>
      <c r="V10" s="440"/>
      <c r="W10" s="440"/>
      <c r="X10" s="440"/>
      <c r="Y10" s="440"/>
      <c r="Z10" s="440"/>
      <c r="AA10" s="440"/>
      <c r="AB10" s="440"/>
      <c r="AC10" s="440"/>
      <c r="AD10" s="440"/>
      <c r="AE10" s="440"/>
      <c r="AF10" s="440"/>
      <c r="AG10" s="440"/>
      <c r="AH10" s="440"/>
      <c r="AI10" s="440"/>
      <c r="AJ10" s="440"/>
      <c r="AK10" s="440"/>
      <c r="AL10" s="440"/>
      <c r="AM10" s="440"/>
      <c r="AN10" s="440"/>
      <c r="AO10" s="440"/>
      <c r="AP10" s="440"/>
      <c r="AQ10" s="440"/>
      <c r="AR10" s="440"/>
      <c r="AS10" s="440"/>
      <c r="AT10" s="440"/>
      <c r="AU10" s="440"/>
      <c r="AV10" s="440"/>
      <c r="AW10" s="440"/>
      <c r="AX10" s="440"/>
      <c r="AY10" s="440"/>
      <c r="AZ10" s="440"/>
      <c r="BA10" s="440"/>
      <c r="BB10" s="440"/>
      <c r="BC10" s="440"/>
      <c r="BD10" s="440"/>
      <c r="BE10" s="440"/>
      <c r="BF10" s="440"/>
      <c r="BG10" s="440"/>
      <c r="BH10" s="440"/>
      <c r="BI10" s="440"/>
      <c r="BJ10" s="440"/>
      <c r="BK10" s="440"/>
      <c r="BL10" s="440"/>
      <c r="BM10" s="440"/>
      <c r="BN10" s="443"/>
    </row>
    <row r="11" spans="1:66" s="444" customFormat="1" ht="24.75" customHeight="1">
      <c r="A11" s="449" t="s">
        <v>45</v>
      </c>
      <c r="B11" s="450">
        <f>Меню!H514</f>
        <v>554.0999999999999</v>
      </c>
      <c r="C11" s="450">
        <f>B11*100/2350</f>
        <v>23.578723404255317</v>
      </c>
      <c r="D11" s="450">
        <f>Меню!H569</f>
        <v>804.8</v>
      </c>
      <c r="E11" s="450">
        <f>D11*100/2350</f>
        <v>34.246808510638296</v>
      </c>
      <c r="F11" s="450">
        <f>Меню!H651</f>
        <v>1358.8999999999999</v>
      </c>
      <c r="G11" s="451">
        <f>F11*100/2350</f>
        <v>57.82553191489362</v>
      </c>
      <c r="H11" s="440"/>
      <c r="I11" s="440"/>
      <c r="J11" s="440"/>
      <c r="K11" s="440"/>
      <c r="L11" s="440"/>
      <c r="M11" s="440"/>
      <c r="N11" s="440"/>
      <c r="O11" s="440"/>
      <c r="P11" s="440"/>
      <c r="Q11" s="440"/>
      <c r="R11" s="440"/>
      <c r="S11" s="440"/>
      <c r="T11" s="440"/>
      <c r="U11" s="440"/>
      <c r="V11" s="440"/>
      <c r="W11" s="440"/>
      <c r="X11" s="440"/>
      <c r="Y11" s="440"/>
      <c r="Z11" s="440"/>
      <c r="AA11" s="440"/>
      <c r="AB11" s="440"/>
      <c r="AC11" s="440"/>
      <c r="AD11" s="440"/>
      <c r="AE11" s="440"/>
      <c r="AF11" s="440"/>
      <c r="AG11" s="440"/>
      <c r="AH11" s="440"/>
      <c r="AI11" s="440"/>
      <c r="AJ11" s="440"/>
      <c r="AK11" s="440"/>
      <c r="AL11" s="440"/>
      <c r="AM11" s="440"/>
      <c r="AN11" s="440"/>
      <c r="AO11" s="440"/>
      <c r="AP11" s="440"/>
      <c r="AQ11" s="440"/>
      <c r="AR11" s="440"/>
      <c r="AS11" s="440"/>
      <c r="AT11" s="440"/>
      <c r="AU11" s="440"/>
      <c r="AV11" s="440"/>
      <c r="AW11" s="440"/>
      <c r="AX11" s="440"/>
      <c r="AY11" s="440"/>
      <c r="AZ11" s="440"/>
      <c r="BA11" s="440"/>
      <c r="BB11" s="440"/>
      <c r="BC11" s="440"/>
      <c r="BD11" s="440"/>
      <c r="BE11" s="440"/>
      <c r="BF11" s="440"/>
      <c r="BG11" s="440"/>
      <c r="BH11" s="440"/>
      <c r="BI11" s="440"/>
      <c r="BJ11" s="440"/>
      <c r="BK11" s="440"/>
      <c r="BL11" s="440"/>
      <c r="BM11" s="440"/>
      <c r="BN11" s="443"/>
    </row>
    <row r="12" spans="1:66" s="444" customFormat="1" ht="24.75" customHeight="1">
      <c r="A12" s="449" t="s">
        <v>46</v>
      </c>
      <c r="B12" s="450">
        <f>Меню!H655</f>
        <v>534.5</v>
      </c>
      <c r="C12" s="450">
        <f>B12*100/2350</f>
        <v>22.74468085106383</v>
      </c>
      <c r="D12" s="450">
        <f>Меню!H682</f>
        <v>789</v>
      </c>
      <c r="E12" s="450">
        <f>D12*100/2350</f>
        <v>33.57446808510638</v>
      </c>
      <c r="F12" s="450">
        <f>Меню!H740</f>
        <v>1323.5</v>
      </c>
      <c r="G12" s="451">
        <f>F12*100/2350</f>
        <v>56.319148936170215</v>
      </c>
      <c r="H12" s="440"/>
      <c r="I12" s="440"/>
      <c r="J12" s="440"/>
      <c r="K12" s="440"/>
      <c r="L12" s="440"/>
      <c r="M12" s="440"/>
      <c r="N12" s="440"/>
      <c r="O12" s="440"/>
      <c r="P12" s="440"/>
      <c r="Q12" s="440"/>
      <c r="R12" s="440"/>
      <c r="S12" s="440"/>
      <c r="T12" s="440"/>
      <c r="U12" s="440"/>
      <c r="V12" s="440"/>
      <c r="W12" s="440"/>
      <c r="X12" s="440"/>
      <c r="Y12" s="440"/>
      <c r="Z12" s="440"/>
      <c r="AA12" s="440"/>
      <c r="AB12" s="440"/>
      <c r="AC12" s="440"/>
      <c r="AD12" s="440"/>
      <c r="AE12" s="440"/>
      <c r="AF12" s="440"/>
      <c r="AG12" s="440"/>
      <c r="AH12" s="440"/>
      <c r="AI12" s="440"/>
      <c r="AJ12" s="440"/>
      <c r="AK12" s="440"/>
      <c r="AL12" s="440"/>
      <c r="AM12" s="440"/>
      <c r="AN12" s="440"/>
      <c r="AO12" s="440"/>
      <c r="AP12" s="440"/>
      <c r="AQ12" s="440"/>
      <c r="AR12" s="440"/>
      <c r="AS12" s="440"/>
      <c r="AT12" s="440"/>
      <c r="AU12" s="440"/>
      <c r="AV12" s="440"/>
      <c r="AW12" s="440"/>
      <c r="AX12" s="440"/>
      <c r="AY12" s="440"/>
      <c r="AZ12" s="440"/>
      <c r="BA12" s="440"/>
      <c r="BB12" s="440"/>
      <c r="BC12" s="440"/>
      <c r="BD12" s="440"/>
      <c r="BE12" s="440"/>
      <c r="BF12" s="440"/>
      <c r="BG12" s="440"/>
      <c r="BH12" s="440"/>
      <c r="BI12" s="440"/>
      <c r="BJ12" s="440"/>
      <c r="BK12" s="440"/>
      <c r="BL12" s="440"/>
      <c r="BM12" s="440"/>
      <c r="BN12" s="443"/>
    </row>
    <row r="13" spans="1:66" s="444" customFormat="1" ht="24.75" customHeight="1">
      <c r="A13" s="449" t="s">
        <v>47</v>
      </c>
      <c r="B13" s="450">
        <f>Меню!H744</f>
        <v>582.5333333333332</v>
      </c>
      <c r="C13" s="450">
        <f>B13*100/2350</f>
        <v>24.788652482269498</v>
      </c>
      <c r="D13" s="450">
        <f>Меню!H772</f>
        <v>784.3499999999999</v>
      </c>
      <c r="E13" s="450">
        <f>D13*100/2350</f>
        <v>33.37659574468084</v>
      </c>
      <c r="F13" s="450">
        <f>Меню!H853</f>
        <v>1366.8833333333332</v>
      </c>
      <c r="G13" s="451">
        <f>F13*100/2350</f>
        <v>58.16524822695035</v>
      </c>
      <c r="H13" s="440"/>
      <c r="I13" s="440"/>
      <c r="J13" s="440"/>
      <c r="K13" s="440"/>
      <c r="L13" s="440"/>
      <c r="M13" s="440"/>
      <c r="N13" s="440"/>
      <c r="O13" s="440"/>
      <c r="P13" s="440"/>
      <c r="Q13" s="440"/>
      <c r="R13" s="440"/>
      <c r="S13" s="440"/>
      <c r="T13" s="440"/>
      <c r="U13" s="440"/>
      <c r="V13" s="440"/>
      <c r="W13" s="440"/>
      <c r="X13" s="440"/>
      <c r="Y13" s="440"/>
      <c r="Z13" s="440"/>
      <c r="AA13" s="440"/>
      <c r="AB13" s="440"/>
      <c r="AC13" s="440"/>
      <c r="AD13" s="440"/>
      <c r="AE13" s="440"/>
      <c r="AF13" s="440"/>
      <c r="AG13" s="440"/>
      <c r="AH13" s="440"/>
      <c r="AI13" s="440"/>
      <c r="AJ13" s="440"/>
      <c r="AK13" s="440"/>
      <c r="AL13" s="440"/>
      <c r="AM13" s="440"/>
      <c r="AN13" s="440"/>
      <c r="AO13" s="440"/>
      <c r="AP13" s="440"/>
      <c r="AQ13" s="440"/>
      <c r="AR13" s="440"/>
      <c r="AS13" s="440"/>
      <c r="AT13" s="440"/>
      <c r="AU13" s="440"/>
      <c r="AV13" s="440"/>
      <c r="AW13" s="440"/>
      <c r="AX13" s="440"/>
      <c r="AY13" s="440"/>
      <c r="AZ13" s="440"/>
      <c r="BA13" s="440"/>
      <c r="BB13" s="440"/>
      <c r="BC13" s="440"/>
      <c r="BD13" s="440"/>
      <c r="BE13" s="440"/>
      <c r="BF13" s="440"/>
      <c r="BG13" s="440"/>
      <c r="BH13" s="440"/>
      <c r="BI13" s="440"/>
      <c r="BJ13" s="440"/>
      <c r="BK13" s="440"/>
      <c r="BL13" s="440"/>
      <c r="BM13" s="440"/>
      <c r="BN13" s="443"/>
    </row>
    <row r="14" spans="1:66" s="444" customFormat="1" ht="24.75" customHeight="1">
      <c r="A14" s="449" t="s">
        <v>48</v>
      </c>
      <c r="B14" s="450">
        <f>Меню!H857</f>
        <v>533.9000000000001</v>
      </c>
      <c r="C14" s="450">
        <f>B14*100/2350</f>
        <v>22.719148936170217</v>
      </c>
      <c r="D14" s="450">
        <f>Меню!H874</f>
        <v>757.15</v>
      </c>
      <c r="E14" s="450">
        <f>D14*100/2350</f>
        <v>32.219148936170214</v>
      </c>
      <c r="F14" s="450">
        <f>Меню!H931</f>
        <v>1291.0500000000002</v>
      </c>
      <c r="G14" s="451">
        <f>F14*100/2350</f>
        <v>54.938297872340435</v>
      </c>
      <c r="H14" s="440"/>
      <c r="I14" s="440"/>
      <c r="J14" s="440"/>
      <c r="K14" s="440"/>
      <c r="L14" s="440"/>
      <c r="M14" s="440"/>
      <c r="N14" s="440"/>
      <c r="O14" s="440"/>
      <c r="P14" s="440"/>
      <c r="Q14" s="440"/>
      <c r="R14" s="440"/>
      <c r="S14" s="440"/>
      <c r="T14" s="440"/>
      <c r="U14" s="440"/>
      <c r="V14" s="440"/>
      <c r="W14" s="440"/>
      <c r="X14" s="440"/>
      <c r="Y14" s="440"/>
      <c r="Z14" s="440"/>
      <c r="AA14" s="440"/>
      <c r="AB14" s="440"/>
      <c r="AC14" s="440"/>
      <c r="AD14" s="440"/>
      <c r="AE14" s="440"/>
      <c r="AF14" s="440"/>
      <c r="AG14" s="440"/>
      <c r="AH14" s="440"/>
      <c r="AI14" s="440"/>
      <c r="AJ14" s="440"/>
      <c r="AK14" s="440"/>
      <c r="AL14" s="440"/>
      <c r="AM14" s="440"/>
      <c r="AN14" s="440"/>
      <c r="AO14" s="440"/>
      <c r="AP14" s="440"/>
      <c r="AQ14" s="440"/>
      <c r="AR14" s="440"/>
      <c r="AS14" s="440"/>
      <c r="AT14" s="440"/>
      <c r="AU14" s="440"/>
      <c r="AV14" s="440"/>
      <c r="AW14" s="440"/>
      <c r="AX14" s="440"/>
      <c r="AY14" s="440"/>
      <c r="AZ14" s="440"/>
      <c r="BA14" s="440"/>
      <c r="BB14" s="440"/>
      <c r="BC14" s="440"/>
      <c r="BD14" s="440"/>
      <c r="BE14" s="440"/>
      <c r="BF14" s="440"/>
      <c r="BG14" s="440"/>
      <c r="BH14" s="440"/>
      <c r="BI14" s="440"/>
      <c r="BJ14" s="440"/>
      <c r="BK14" s="440"/>
      <c r="BL14" s="440"/>
      <c r="BM14" s="440"/>
      <c r="BN14" s="443"/>
    </row>
    <row r="15" spans="1:66" s="444" customFormat="1" ht="24.75" customHeight="1">
      <c r="A15" s="449" t="s">
        <v>49</v>
      </c>
      <c r="B15" s="450">
        <f>Меню!H935</f>
        <v>570.8</v>
      </c>
      <c r="C15" s="450">
        <f>B15*100/2350</f>
        <v>24.289361702127657</v>
      </c>
      <c r="D15" s="450">
        <f>Меню!H980</f>
        <v>718.4416666666666</v>
      </c>
      <c r="E15" s="450">
        <f>D15*100/2350</f>
        <v>30.571985815602833</v>
      </c>
      <c r="F15" s="450">
        <f>Меню!H1043</f>
        <v>1289.2416666666666</v>
      </c>
      <c r="G15" s="451">
        <f>F15*100/2350</f>
        <v>54.86134751773049</v>
      </c>
      <c r="H15" s="440"/>
      <c r="I15" s="440"/>
      <c r="J15" s="440"/>
      <c r="K15" s="440"/>
      <c r="L15" s="440"/>
      <c r="M15" s="440"/>
      <c r="N15" s="440"/>
      <c r="O15" s="440"/>
      <c r="P15" s="440"/>
      <c r="Q15" s="440"/>
      <c r="R15" s="440"/>
      <c r="S15" s="440"/>
      <c r="T15" s="440"/>
      <c r="U15" s="440"/>
      <c r="V15" s="440"/>
      <c r="W15" s="440"/>
      <c r="X15" s="440"/>
      <c r="Y15" s="440"/>
      <c r="Z15" s="440"/>
      <c r="AA15" s="440"/>
      <c r="AB15" s="440"/>
      <c r="AC15" s="440"/>
      <c r="AD15" s="440"/>
      <c r="AE15" s="440"/>
      <c r="AF15" s="440"/>
      <c r="AG15" s="440"/>
      <c r="AH15" s="440"/>
      <c r="AI15" s="440"/>
      <c r="AJ15" s="440"/>
      <c r="AK15" s="440"/>
      <c r="AL15" s="440"/>
      <c r="AM15" s="440"/>
      <c r="AN15" s="440"/>
      <c r="AO15" s="440"/>
      <c r="AP15" s="440"/>
      <c r="AQ15" s="440"/>
      <c r="AR15" s="440"/>
      <c r="AS15" s="440"/>
      <c r="AT15" s="440"/>
      <c r="AU15" s="440"/>
      <c r="AV15" s="440"/>
      <c r="AW15" s="440"/>
      <c r="AX15" s="440"/>
      <c r="AY15" s="440"/>
      <c r="AZ15" s="440"/>
      <c r="BA15" s="440"/>
      <c r="BB15" s="440"/>
      <c r="BC15" s="440"/>
      <c r="BD15" s="440"/>
      <c r="BE15" s="440"/>
      <c r="BF15" s="440"/>
      <c r="BG15" s="440"/>
      <c r="BH15" s="440"/>
      <c r="BI15" s="440"/>
      <c r="BJ15" s="440"/>
      <c r="BK15" s="440"/>
      <c r="BL15" s="440"/>
      <c r="BM15" s="440"/>
      <c r="BN15" s="443"/>
    </row>
    <row r="16" spans="1:7" ht="24.75" customHeight="1">
      <c r="A16" s="445" t="s">
        <v>184</v>
      </c>
      <c r="B16" s="452">
        <f aca="true" t="shared" si="1" ref="B16:G16">SUM(B11:B15)/5</f>
        <v>555.1666666666666</v>
      </c>
      <c r="C16" s="452">
        <f t="shared" si="1"/>
        <v>23.624113475177303</v>
      </c>
      <c r="D16" s="452">
        <f t="shared" si="1"/>
        <v>770.7483333333332</v>
      </c>
      <c r="E16" s="452">
        <f t="shared" si="1"/>
        <v>32.79780141843971</v>
      </c>
      <c r="F16" s="452">
        <f t="shared" si="1"/>
        <v>1325.915</v>
      </c>
      <c r="G16" s="453">
        <f t="shared" si="1"/>
        <v>56.42191489361702</v>
      </c>
    </row>
    <row r="17" spans="1:7" ht="24.75" customHeight="1" thickBot="1">
      <c r="A17" s="454" t="s">
        <v>71</v>
      </c>
      <c r="B17" s="455">
        <f aca="true" t="shared" si="2" ref="B17:G17">(B16+B10)/2</f>
        <v>547.1858333333332</v>
      </c>
      <c r="C17" s="455">
        <f t="shared" si="2"/>
        <v>23.284503546099288</v>
      </c>
      <c r="D17" s="455">
        <f t="shared" si="2"/>
        <v>778.3123</v>
      </c>
      <c r="E17" s="455">
        <f t="shared" si="2"/>
        <v>33.119672340425524</v>
      </c>
      <c r="F17" s="455">
        <f t="shared" si="2"/>
        <v>1325.4981333333333</v>
      </c>
      <c r="G17" s="456">
        <f t="shared" si="2"/>
        <v>56.404175886524826</v>
      </c>
    </row>
    <row r="18" spans="1:7" ht="16.5" customHeight="1">
      <c r="A18" s="519" t="s">
        <v>475</v>
      </c>
      <c r="B18" s="519"/>
      <c r="C18" s="519"/>
      <c r="D18" s="519"/>
      <c r="E18" s="519"/>
      <c r="F18" s="519"/>
      <c r="G18" s="519"/>
    </row>
    <row r="19" spans="1:7" ht="16.5" customHeight="1">
      <c r="A19" s="511" t="s">
        <v>476</v>
      </c>
      <c r="B19" s="511"/>
      <c r="C19" s="511"/>
      <c r="D19" s="511"/>
      <c r="E19" s="511"/>
      <c r="F19" s="511"/>
      <c r="G19" s="511"/>
    </row>
    <row r="21" ht="12.75">
      <c r="B21" s="458"/>
    </row>
  </sheetData>
  <sheetProtection password="CF52" sheet="1"/>
  <mergeCells count="7">
    <mergeCell ref="A19:G19"/>
    <mergeCell ref="G2:G4"/>
    <mergeCell ref="A1:G1"/>
    <mergeCell ref="A2:A4"/>
    <mergeCell ref="E2:E4"/>
    <mergeCell ref="C2:C4"/>
    <mergeCell ref="A18:G18"/>
  </mergeCells>
  <conditionalFormatting sqref="B5:B17">
    <cfRule type="cellIs" priority="5" dxfId="0" operator="lessThan" stopIfTrue="1">
      <formula>470</formula>
    </cfRule>
    <cfRule type="cellIs" priority="6" dxfId="0" operator="greaterThan" stopIfTrue="1">
      <formula>588.49</formula>
    </cfRule>
  </conditionalFormatting>
  <conditionalFormatting sqref="D5:D17">
    <cfRule type="cellIs" priority="3" dxfId="0" operator="lessThan" stopIfTrue="1">
      <formula>705</formula>
    </cfRule>
    <cfRule type="cellIs" priority="4" dxfId="0" operator="greaterThan" stopIfTrue="1">
      <formula>823.49</formula>
    </cfRule>
  </conditionalFormatting>
  <conditionalFormatting sqref="F5:F17">
    <cfRule type="cellIs" priority="1" dxfId="0" operator="lessThan" stopIfTrue="1">
      <formula>1175</formula>
    </cfRule>
    <cfRule type="cellIs" priority="2" dxfId="0" operator="greaterThan" stopIfTrue="1">
      <formula>1410</formula>
    </cfRule>
  </conditionalFormatting>
  <printOptions/>
  <pageMargins left="0" right="0" top="0.5905511811023623" bottom="0.5905511811023623" header="0.31496062992125984" footer="0.31496062992125984"/>
  <pageSetup horizontalDpi="300" verticalDpi="300" orientation="landscape" paperSize="9" r:id="rId1"/>
  <ignoredErrors>
    <ignoredError sqref="D5:D9 D11:D15 F5:F9 F11:F1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" sqref="A1:C14"/>
    </sheetView>
  </sheetViews>
  <sheetFormatPr defaultColWidth="9.140625" defaultRowHeight="12.75"/>
  <cols>
    <col min="1" max="1" width="52.28125" style="46" customWidth="1"/>
    <col min="2" max="2" width="40.8515625" style="212" customWidth="1"/>
    <col min="3" max="3" width="40.57421875" style="212" customWidth="1"/>
    <col min="4" max="4" width="13.140625" style="212" customWidth="1"/>
    <col min="5" max="16384" width="9.140625" style="212" customWidth="1"/>
  </cols>
  <sheetData>
    <row r="1" spans="1:4" ht="19.5" customHeight="1">
      <c r="A1" s="520" t="s">
        <v>192</v>
      </c>
      <c r="B1" s="520"/>
      <c r="C1" s="520"/>
      <c r="D1" s="211"/>
    </row>
    <row r="2" spans="1:4" ht="31.5" customHeight="1">
      <c r="A2" s="521" t="s">
        <v>193</v>
      </c>
      <c r="B2" s="277" t="s">
        <v>194</v>
      </c>
      <c r="C2" s="277" t="s">
        <v>195</v>
      </c>
      <c r="D2" s="64"/>
    </row>
    <row r="3" spans="1:4" ht="24" customHeight="1">
      <c r="A3" s="521"/>
      <c r="B3" s="213" t="s">
        <v>196</v>
      </c>
      <c r="C3" s="213" t="s">
        <v>197</v>
      </c>
      <c r="D3" s="214"/>
    </row>
    <row r="4" spans="1:4" ht="30" customHeight="1">
      <c r="A4" s="278" t="s">
        <v>40</v>
      </c>
      <c r="B4" s="279">
        <f>Меню!D8</f>
        <v>565</v>
      </c>
      <c r="C4" s="279">
        <f>Меню!D40</f>
        <v>975</v>
      </c>
      <c r="D4" s="215"/>
    </row>
    <row r="5" spans="1:4" ht="30" customHeight="1">
      <c r="A5" s="278" t="s">
        <v>41</v>
      </c>
      <c r="B5" s="279">
        <f>Меню!D105</f>
        <v>630</v>
      </c>
      <c r="C5" s="279">
        <f>Меню!D138</f>
        <v>820</v>
      </c>
      <c r="D5" s="215"/>
    </row>
    <row r="6" spans="1:4" ht="30" customHeight="1">
      <c r="A6" s="278" t="s">
        <v>42</v>
      </c>
      <c r="B6" s="279">
        <f>Меню!D205</f>
        <v>535</v>
      </c>
      <c r="C6" s="279">
        <f>Меню!D241</f>
        <v>800</v>
      </c>
      <c r="D6" s="215"/>
    </row>
    <row r="7" spans="1:4" ht="30" customHeight="1">
      <c r="A7" s="278" t="s">
        <v>43</v>
      </c>
      <c r="B7" s="279">
        <f>Меню!D302</f>
        <v>595</v>
      </c>
      <c r="C7" s="279">
        <f>Меню!D368</f>
        <v>780</v>
      </c>
      <c r="D7" s="215"/>
    </row>
    <row r="8" spans="1:4" ht="30" customHeight="1">
      <c r="A8" s="278" t="s">
        <v>44</v>
      </c>
      <c r="B8" s="279">
        <f>Меню!D422</f>
        <v>510</v>
      </c>
      <c r="C8" s="279">
        <f>Меню!D441</f>
        <v>780</v>
      </c>
      <c r="D8" s="215"/>
    </row>
    <row r="9" spans="1:4" ht="30" customHeight="1">
      <c r="A9" s="278" t="s">
        <v>45</v>
      </c>
      <c r="B9" s="279">
        <f>Меню!D514</f>
        <v>682</v>
      </c>
      <c r="C9" s="279">
        <f>Меню!D569</f>
        <v>765</v>
      </c>
      <c r="D9" s="215"/>
    </row>
    <row r="10" spans="1:4" ht="30" customHeight="1">
      <c r="A10" s="278" t="s">
        <v>46</v>
      </c>
      <c r="B10" s="279">
        <f>Меню!D655</f>
        <v>600</v>
      </c>
      <c r="C10" s="279">
        <f>Меню!D682</f>
        <v>795</v>
      </c>
      <c r="D10" s="215"/>
    </row>
    <row r="11" spans="1:4" ht="30" customHeight="1">
      <c r="A11" s="278" t="s">
        <v>47</v>
      </c>
      <c r="B11" s="279">
        <f>Меню!D744</f>
        <v>550</v>
      </c>
      <c r="C11" s="279">
        <f>Меню!D772</f>
        <v>775</v>
      </c>
      <c r="D11" s="215"/>
    </row>
    <row r="12" spans="1:4" ht="30" customHeight="1">
      <c r="A12" s="278" t="s">
        <v>48</v>
      </c>
      <c r="B12" s="279">
        <f>Меню!D857</f>
        <v>522</v>
      </c>
      <c r="C12" s="279">
        <f>Меню!D874</f>
        <v>770</v>
      </c>
      <c r="D12" s="215"/>
    </row>
    <row r="13" spans="1:4" ht="30" customHeight="1">
      <c r="A13" s="278" t="s">
        <v>49</v>
      </c>
      <c r="B13" s="279">
        <f>Меню!D935</f>
        <v>650</v>
      </c>
      <c r="C13" s="279">
        <f>Меню!D980</f>
        <v>770</v>
      </c>
      <c r="D13" s="215"/>
    </row>
  </sheetData>
  <sheetProtection password="CF52" sheet="1"/>
  <mergeCells count="2">
    <mergeCell ref="A1:C1"/>
    <mergeCell ref="A2:A3"/>
  </mergeCells>
  <conditionalFormatting sqref="B4:B13">
    <cfRule type="cellIs" priority="2" dxfId="0" operator="lessThan" stopIfTrue="1">
      <formula>500</formula>
    </cfRule>
  </conditionalFormatting>
  <conditionalFormatting sqref="C4:C13">
    <cfRule type="cellIs" priority="1" dxfId="0" operator="lessThan" stopIfTrue="1">
      <formula>700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23">
      <selection activeCell="B1" sqref="A1:R41"/>
    </sheetView>
  </sheetViews>
  <sheetFormatPr defaultColWidth="9.140625" defaultRowHeight="12.75" outlineLevelCol="1"/>
  <cols>
    <col min="1" max="1" width="2.8515625" style="118" customWidth="1"/>
    <col min="2" max="2" width="31.00390625" style="217" customWidth="1"/>
    <col min="3" max="3" width="10.8515625" style="118" hidden="1" customWidth="1"/>
    <col min="4" max="4" width="0.13671875" style="118" hidden="1" customWidth="1"/>
    <col min="5" max="5" width="20.7109375" style="118" customWidth="1" collapsed="1"/>
    <col min="6" max="6" width="5.57421875" style="118" hidden="1" customWidth="1" outlineLevel="1"/>
    <col min="7" max="7" width="5.28125" style="118" hidden="1" customWidth="1" outlineLevel="1"/>
    <col min="8" max="8" width="3.421875" style="118" hidden="1" customWidth="1" outlineLevel="1"/>
    <col min="9" max="9" width="4.140625" style="118" hidden="1" customWidth="1" outlineLevel="1"/>
    <col min="10" max="10" width="3.7109375" style="118" hidden="1" customWidth="1" outlineLevel="1"/>
    <col min="11" max="11" width="5.28125" style="118" hidden="1" customWidth="1" outlineLevel="1"/>
    <col min="12" max="12" width="5.140625" style="118" hidden="1" customWidth="1" outlineLevel="1"/>
    <col min="13" max="13" width="4.7109375" style="118" hidden="1" customWidth="1" outlineLevel="1"/>
    <col min="14" max="14" width="6.140625" style="118" hidden="1" customWidth="1" outlineLevel="1"/>
    <col min="15" max="15" width="9.28125" style="118" hidden="1" customWidth="1" outlineLevel="1"/>
    <col min="16" max="16" width="13.421875" style="118" hidden="1" customWidth="1" collapsed="1"/>
    <col min="17" max="17" width="20.421875" style="118" customWidth="1"/>
    <col min="18" max="18" width="16.140625" style="118" customWidth="1"/>
    <col min="19" max="16384" width="9.140625" style="46" customWidth="1"/>
  </cols>
  <sheetData>
    <row r="1" spans="16:17" ht="15.75">
      <c r="P1" s="118" t="s">
        <v>101</v>
      </c>
      <c r="Q1" s="128" t="s">
        <v>104</v>
      </c>
    </row>
    <row r="2" spans="16:18" ht="12.75">
      <c r="P2" s="125"/>
      <c r="Q2" s="125"/>
      <c r="R2" s="125"/>
    </row>
    <row r="3" spans="16:18" ht="12.75">
      <c r="P3" s="126"/>
      <c r="Q3" s="126"/>
      <c r="R3" s="126"/>
    </row>
    <row r="4" spans="16:18" ht="12.75">
      <c r="P4" s="125"/>
      <c r="Q4" s="125"/>
      <c r="R4" s="125"/>
    </row>
    <row r="5" spans="16:18" ht="12.75">
      <c r="P5" s="125"/>
      <c r="Q5" s="125"/>
      <c r="R5" s="125"/>
    </row>
    <row r="6" spans="1:18" s="98" customFormat="1" ht="36.75" customHeight="1">
      <c r="A6" s="529" t="s">
        <v>203</v>
      </c>
      <c r="B6" s="529"/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29"/>
      <c r="P6" s="529"/>
      <c r="Q6" s="529"/>
      <c r="R6" s="529"/>
    </row>
    <row r="7" spans="1:18" ht="15" customHeight="1">
      <c r="A7" s="525" t="s">
        <v>34</v>
      </c>
      <c r="B7" s="525" t="s">
        <v>102</v>
      </c>
      <c r="C7" s="525" t="s">
        <v>88</v>
      </c>
      <c r="D7" s="129"/>
      <c r="E7" s="525" t="s">
        <v>156</v>
      </c>
      <c r="F7" s="526" t="s">
        <v>51</v>
      </c>
      <c r="G7" s="527"/>
      <c r="H7" s="527"/>
      <c r="I7" s="527"/>
      <c r="J7" s="527"/>
      <c r="K7" s="527"/>
      <c r="L7" s="527"/>
      <c r="M7" s="527"/>
      <c r="N7" s="527"/>
      <c r="O7" s="527"/>
      <c r="P7" s="525" t="s">
        <v>103</v>
      </c>
      <c r="Q7" s="522" t="s">
        <v>157</v>
      </c>
      <c r="R7" s="525" t="s">
        <v>35</v>
      </c>
    </row>
    <row r="8" spans="1:18" ht="20.25" customHeight="1">
      <c r="A8" s="525"/>
      <c r="B8" s="525"/>
      <c r="C8" s="525"/>
      <c r="D8" s="130" t="s">
        <v>92</v>
      </c>
      <c r="E8" s="525"/>
      <c r="F8" s="526" t="s">
        <v>36</v>
      </c>
      <c r="G8" s="527"/>
      <c r="H8" s="527"/>
      <c r="I8" s="527"/>
      <c r="J8" s="527"/>
      <c r="K8" s="527"/>
      <c r="L8" s="527"/>
      <c r="M8" s="527"/>
      <c r="N8" s="527"/>
      <c r="O8" s="527"/>
      <c r="P8" s="525"/>
      <c r="Q8" s="523"/>
      <c r="R8" s="525"/>
    </row>
    <row r="9" spans="1:18" ht="12.75" customHeight="1">
      <c r="A9" s="525"/>
      <c r="B9" s="525"/>
      <c r="C9" s="525"/>
      <c r="D9" s="131"/>
      <c r="E9" s="525"/>
      <c r="F9" s="132">
        <v>1</v>
      </c>
      <c r="G9" s="132">
        <v>2</v>
      </c>
      <c r="H9" s="132">
        <v>3</v>
      </c>
      <c r="I9" s="132">
        <v>4</v>
      </c>
      <c r="J9" s="132">
        <v>5</v>
      </c>
      <c r="K9" s="132">
        <v>6</v>
      </c>
      <c r="L9" s="132">
        <v>7</v>
      </c>
      <c r="M9" s="132">
        <v>8</v>
      </c>
      <c r="N9" s="132">
        <v>9</v>
      </c>
      <c r="O9" s="132">
        <v>10</v>
      </c>
      <c r="P9" s="525"/>
      <c r="Q9" s="524"/>
      <c r="R9" s="525"/>
    </row>
    <row r="10" spans="1:18" ht="15.75" customHeight="1">
      <c r="A10" s="79">
        <v>1</v>
      </c>
      <c r="B10" s="202" t="s">
        <v>26</v>
      </c>
      <c r="C10" s="78">
        <v>80</v>
      </c>
      <c r="D10" s="78">
        <v>50</v>
      </c>
      <c r="E10" s="133">
        <f>накопительная!E5</f>
        <v>52</v>
      </c>
      <c r="F10" s="80" t="e">
        <f>Меню!#REF!</f>
        <v>#REF!</v>
      </c>
      <c r="G10" s="80">
        <f>Меню!L937</f>
        <v>40</v>
      </c>
      <c r="H10" s="80">
        <f>Меню!L860</f>
        <v>50</v>
      </c>
      <c r="I10" s="80">
        <f>Меню!L747</f>
        <v>70</v>
      </c>
      <c r="J10" s="80">
        <f>Меню!L656</f>
        <v>60</v>
      </c>
      <c r="K10" s="80">
        <f>Меню!L515</f>
        <v>60</v>
      </c>
      <c r="L10" s="80" t="e">
        <f>Меню!#REF!</f>
        <v>#REF!</v>
      </c>
      <c r="M10" s="80">
        <f>Меню!L424</f>
        <v>50</v>
      </c>
      <c r="N10" s="80">
        <f>Меню!L301</f>
        <v>40</v>
      </c>
      <c r="O10" s="80">
        <f>Меню!L206</f>
        <v>40</v>
      </c>
      <c r="P10" s="80" t="e">
        <f aca="true" t="shared" si="0" ref="P10:P38">SUM(F10:O10)</f>
        <v>#REF!</v>
      </c>
      <c r="Q10" s="127">
        <f>накопительная!Q5</f>
        <v>52</v>
      </c>
      <c r="R10" s="81">
        <f>накопительная!R5</f>
        <v>100</v>
      </c>
    </row>
    <row r="11" spans="1:18" ht="15.75" customHeight="1">
      <c r="A11" s="79">
        <f>A10+1</f>
        <v>2</v>
      </c>
      <c r="B11" s="202" t="s">
        <v>126</v>
      </c>
      <c r="C11" s="80">
        <v>150</v>
      </c>
      <c r="D11" s="78">
        <v>50</v>
      </c>
      <c r="E11" s="133">
        <f>накопительная!E6</f>
        <v>70.5</v>
      </c>
      <c r="F11" s="80" t="e">
        <f>Меню!#REF!</f>
        <v>#REF!</v>
      </c>
      <c r="G11" s="80">
        <f>Меню!L938</f>
        <v>40</v>
      </c>
      <c r="H11" s="80">
        <f>Меню!L861</f>
        <v>80</v>
      </c>
      <c r="I11" s="80">
        <f>Меню!L749</f>
        <v>70</v>
      </c>
      <c r="J11" s="80">
        <f>Меню!L657</f>
        <v>70</v>
      </c>
      <c r="K11" s="80">
        <f>Меню!L516</f>
        <v>88</v>
      </c>
      <c r="L11" s="80" t="e">
        <f>Меню!#REF!</f>
        <v>#REF!</v>
      </c>
      <c r="M11" s="80">
        <f>Меню!L425</f>
        <v>95</v>
      </c>
      <c r="N11" s="80">
        <f>Меню!L302</f>
        <v>75</v>
      </c>
      <c r="O11" s="80">
        <f>Меню!L207</f>
        <v>75</v>
      </c>
      <c r="P11" s="80" t="e">
        <f t="shared" si="0"/>
        <v>#REF!</v>
      </c>
      <c r="Q11" s="127">
        <f>накопительная!Q6</f>
        <v>70.3</v>
      </c>
      <c r="R11" s="81">
        <f>накопительная!R6</f>
        <v>99.71631205673759</v>
      </c>
    </row>
    <row r="12" spans="1:18" ht="15.75" customHeight="1">
      <c r="A12" s="79">
        <f aca="true" t="shared" si="1" ref="A12:A39">A11+1</f>
        <v>3</v>
      </c>
      <c r="B12" s="202" t="s">
        <v>155</v>
      </c>
      <c r="C12" s="78">
        <v>15</v>
      </c>
      <c r="D12" s="117">
        <v>80</v>
      </c>
      <c r="E12" s="133">
        <f>накопительная!E7</f>
        <v>12.6</v>
      </c>
      <c r="F12" s="80" t="e">
        <f>Меню!#REF!</f>
        <v>#REF!</v>
      </c>
      <c r="G12" s="80">
        <f>Меню!L939</f>
        <v>59</v>
      </c>
      <c r="H12" s="80">
        <f>Меню!L862</f>
        <v>14.5</v>
      </c>
      <c r="I12" s="80">
        <f>Меню!L750</f>
        <v>8</v>
      </c>
      <c r="J12" s="80">
        <f>Меню!L658</f>
        <v>2</v>
      </c>
      <c r="K12" s="80">
        <f>Меню!L517</f>
        <v>8.5</v>
      </c>
      <c r="L12" s="80" t="e">
        <f>Меню!#REF!</f>
        <v>#REF!</v>
      </c>
      <c r="M12" s="80">
        <f>Меню!L426</f>
        <v>8.5</v>
      </c>
      <c r="N12" s="80">
        <f>Меню!L303</f>
        <v>6.5</v>
      </c>
      <c r="O12" s="80">
        <f>Меню!L208</f>
        <v>0</v>
      </c>
      <c r="P12" s="80" t="e">
        <f t="shared" si="0"/>
        <v>#REF!</v>
      </c>
      <c r="Q12" s="127">
        <f>накопительная!Q7</f>
        <v>12.65</v>
      </c>
      <c r="R12" s="81">
        <f>накопительная!R7</f>
        <v>100.3968253968254</v>
      </c>
    </row>
    <row r="13" spans="1:18" s="98" customFormat="1" ht="15.75" customHeight="1">
      <c r="A13" s="79">
        <f t="shared" si="1"/>
        <v>4</v>
      </c>
      <c r="B13" s="102" t="s">
        <v>66</v>
      </c>
      <c r="C13" s="82">
        <v>45</v>
      </c>
      <c r="D13" s="117">
        <v>55</v>
      </c>
      <c r="E13" s="133">
        <f>накопительная!E8</f>
        <v>33.975</v>
      </c>
      <c r="F13" s="80" t="e">
        <f>Меню!#REF!</f>
        <v>#REF!</v>
      </c>
      <c r="G13" s="80">
        <f>Меню!L940</f>
        <v>64</v>
      </c>
      <c r="H13" s="80">
        <f>Меню!L863</f>
        <v>5</v>
      </c>
      <c r="I13" s="80">
        <f>Меню!L751</f>
        <v>76</v>
      </c>
      <c r="J13" s="80">
        <f>Меню!L659</f>
        <v>54</v>
      </c>
      <c r="K13" s="80">
        <f>Меню!L518</f>
        <v>0</v>
      </c>
      <c r="L13" s="80" t="e">
        <f>Меню!#REF!</f>
        <v>#REF!</v>
      </c>
      <c r="M13" s="80">
        <f>Меню!L427</f>
        <v>16.666666666666668</v>
      </c>
      <c r="N13" s="80">
        <f>Меню!L304</f>
        <v>38</v>
      </c>
      <c r="O13" s="80">
        <f>Меню!L209</f>
        <v>8.5</v>
      </c>
      <c r="P13" s="80" t="e">
        <f t="shared" si="0"/>
        <v>#REF!</v>
      </c>
      <c r="Q13" s="127">
        <f>накопительная!Q8</f>
        <v>34.016666666666666</v>
      </c>
      <c r="R13" s="81">
        <f>накопительная!R8</f>
        <v>100.12263919548687</v>
      </c>
    </row>
    <row r="14" spans="1:18" s="98" customFormat="1" ht="15.75" customHeight="1">
      <c r="A14" s="79">
        <f t="shared" si="1"/>
        <v>5</v>
      </c>
      <c r="B14" s="102" t="s">
        <v>65</v>
      </c>
      <c r="C14" s="82">
        <v>15</v>
      </c>
      <c r="D14" s="117">
        <v>65</v>
      </c>
      <c r="E14" s="133">
        <f>накопительная!E9</f>
        <v>8.475</v>
      </c>
      <c r="F14" s="80" t="e">
        <f>Меню!#REF!</f>
        <v>#REF!</v>
      </c>
      <c r="G14" s="80">
        <f>Меню!L941</f>
        <v>0</v>
      </c>
      <c r="H14" s="80">
        <f>Меню!L864</f>
        <v>0</v>
      </c>
      <c r="I14" s="80">
        <f>Меню!L752</f>
        <v>0</v>
      </c>
      <c r="J14" s="80">
        <f>Меню!L660</f>
        <v>0</v>
      </c>
      <c r="K14" s="80">
        <f>Меню!L519</f>
        <v>20</v>
      </c>
      <c r="L14" s="80" t="e">
        <f>Меню!#REF!</f>
        <v>#REF!</v>
      </c>
      <c r="M14" s="80">
        <f>Меню!L428</f>
        <v>65</v>
      </c>
      <c r="N14" s="80">
        <f>Меню!L305</f>
        <v>0</v>
      </c>
      <c r="O14" s="80">
        <f>Меню!L210</f>
        <v>0</v>
      </c>
      <c r="P14" s="80" t="e">
        <f t="shared" si="0"/>
        <v>#REF!</v>
      </c>
      <c r="Q14" s="127">
        <f>накопительная!Q9</f>
        <v>8.5</v>
      </c>
      <c r="R14" s="81">
        <f>накопительная!R9</f>
        <v>100.29498525073747</v>
      </c>
    </row>
    <row r="15" spans="1:18" ht="15.75" customHeight="1">
      <c r="A15" s="79">
        <f t="shared" si="1"/>
        <v>6</v>
      </c>
      <c r="B15" s="202" t="s">
        <v>27</v>
      </c>
      <c r="C15" s="78">
        <v>188</v>
      </c>
      <c r="D15" s="78">
        <v>50</v>
      </c>
      <c r="E15" s="133">
        <f>накопительная!E10</f>
        <v>150.4</v>
      </c>
      <c r="F15" s="80" t="e">
        <f>Меню!#REF!</f>
        <v>#REF!</v>
      </c>
      <c r="G15" s="80">
        <f>Меню!L942</f>
        <v>87</v>
      </c>
      <c r="H15" s="80">
        <f>Меню!L865</f>
        <v>203</v>
      </c>
      <c r="I15" s="80">
        <f>Меню!L753</f>
        <v>28</v>
      </c>
      <c r="J15" s="80">
        <f>Меню!L661</f>
        <v>100</v>
      </c>
      <c r="K15" s="80">
        <f>Меню!L520</f>
        <v>158</v>
      </c>
      <c r="L15" s="80" t="e">
        <f>Меню!#REF!</f>
        <v>#REF!</v>
      </c>
      <c r="M15" s="80">
        <f>Меню!L429</f>
        <v>212</v>
      </c>
      <c r="N15" s="80">
        <f>Меню!L306</f>
        <v>166</v>
      </c>
      <c r="O15" s="80">
        <f>Меню!L211</f>
        <v>180</v>
      </c>
      <c r="P15" s="80" t="e">
        <f t="shared" si="0"/>
        <v>#REF!</v>
      </c>
      <c r="Q15" s="127">
        <f>накопительная!Q10</f>
        <v>150.9</v>
      </c>
      <c r="R15" s="81">
        <f>накопительная!R10</f>
        <v>100.33244680851064</v>
      </c>
    </row>
    <row r="16" spans="1:18" ht="42.75" customHeight="1">
      <c r="A16" s="79">
        <f t="shared" si="1"/>
        <v>7</v>
      </c>
      <c r="B16" s="102" t="s">
        <v>169</v>
      </c>
      <c r="C16" s="78">
        <v>280</v>
      </c>
      <c r="D16" s="117">
        <v>55</v>
      </c>
      <c r="E16" s="133">
        <f>накопительная!E11</f>
        <v>183.4</v>
      </c>
      <c r="F16" s="80" t="e">
        <f>Меню!#REF!</f>
        <v>#REF!</v>
      </c>
      <c r="G16" s="80">
        <f>Меню!L943</f>
        <v>92.2</v>
      </c>
      <c r="H16" s="80">
        <f>Меню!L866</f>
        <v>86.2</v>
      </c>
      <c r="I16" s="80">
        <f>Меню!L754</f>
        <v>462.2</v>
      </c>
      <c r="J16" s="80">
        <f>Меню!L662</f>
        <v>161.1</v>
      </c>
      <c r="K16" s="80">
        <f>Меню!L521</f>
        <v>272</v>
      </c>
      <c r="L16" s="80" t="e">
        <f>Меню!#REF!</f>
        <v>#REF!</v>
      </c>
      <c r="M16" s="80">
        <f>Меню!L430</f>
        <v>141</v>
      </c>
      <c r="N16" s="80">
        <f>Меню!L307</f>
        <v>179.5</v>
      </c>
      <c r="O16" s="80">
        <f>Меню!L212</f>
        <v>178</v>
      </c>
      <c r="P16" s="80" t="e">
        <f t="shared" si="0"/>
        <v>#REF!</v>
      </c>
      <c r="Q16" s="127">
        <f>накопительная!Q11</f>
        <v>183.2775</v>
      </c>
      <c r="R16" s="81">
        <f>накопительная!R11</f>
        <v>99.93320610687023</v>
      </c>
    </row>
    <row r="17" spans="1:18" ht="15.75" customHeight="1">
      <c r="A17" s="79">
        <f t="shared" si="1"/>
        <v>8</v>
      </c>
      <c r="B17" s="202" t="s">
        <v>28</v>
      </c>
      <c r="C17" s="78">
        <v>185</v>
      </c>
      <c r="D17" s="117">
        <v>60</v>
      </c>
      <c r="E17" s="133">
        <f>накопительная!E12</f>
        <v>121.175</v>
      </c>
      <c r="F17" s="80" t="e">
        <f>Меню!#REF!</f>
        <v>#REF!</v>
      </c>
      <c r="G17" s="80">
        <f>Меню!L944</f>
        <v>160</v>
      </c>
      <c r="H17" s="80">
        <f>Меню!L867</f>
        <v>31</v>
      </c>
      <c r="I17" s="80">
        <f>Меню!L755</f>
        <v>0</v>
      </c>
      <c r="J17" s="80">
        <f>Меню!L663</f>
        <v>185</v>
      </c>
      <c r="K17" s="80">
        <f>Меню!L522</f>
        <v>157</v>
      </c>
      <c r="L17" s="80" t="e">
        <f>Меню!#REF!</f>
        <v>#REF!</v>
      </c>
      <c r="M17" s="80">
        <f>Меню!L431</f>
        <v>25</v>
      </c>
      <c r="N17" s="80">
        <f>Меню!L308</f>
        <v>170</v>
      </c>
      <c r="O17" s="80">
        <f>Меню!L213</f>
        <v>174</v>
      </c>
      <c r="P17" s="80" t="e">
        <f t="shared" si="0"/>
        <v>#REF!</v>
      </c>
      <c r="Q17" s="127">
        <f>накопительная!Q12</f>
        <v>121.2</v>
      </c>
      <c r="R17" s="81">
        <f>накопительная!R12</f>
        <v>100.02063131834124</v>
      </c>
    </row>
    <row r="18" spans="1:18" ht="15.75" customHeight="1">
      <c r="A18" s="79">
        <f t="shared" si="1"/>
        <v>9</v>
      </c>
      <c r="B18" s="202" t="s">
        <v>170</v>
      </c>
      <c r="C18" s="78">
        <v>15</v>
      </c>
      <c r="D18" s="117">
        <v>55</v>
      </c>
      <c r="E18" s="133">
        <f>накопительная!E13</f>
        <v>5.025</v>
      </c>
      <c r="F18" s="80" t="e">
        <f>Меню!#REF!</f>
        <v>#REF!</v>
      </c>
      <c r="G18" s="80">
        <f>Меню!L945</f>
        <v>0</v>
      </c>
      <c r="H18" s="80">
        <f>Меню!L868</f>
        <v>0</v>
      </c>
      <c r="I18" s="80">
        <f>Меню!L756</f>
        <v>25</v>
      </c>
      <c r="J18" s="80">
        <f>Меню!L664</f>
        <v>0</v>
      </c>
      <c r="K18" s="80">
        <f>Меню!L523</f>
        <v>0</v>
      </c>
      <c r="L18" s="80" t="e">
        <f>Меню!#REF!</f>
        <v>#REF!</v>
      </c>
      <c r="M18" s="80">
        <f>Меню!L432</f>
        <v>0</v>
      </c>
      <c r="N18" s="80">
        <f>Меню!L309</f>
        <v>25</v>
      </c>
      <c r="O18" s="80">
        <f>Меню!L214</f>
        <v>0</v>
      </c>
      <c r="P18" s="80" t="e">
        <f t="shared" si="0"/>
        <v>#REF!</v>
      </c>
      <c r="Q18" s="127">
        <f>накопительная!Q13</f>
        <v>5</v>
      </c>
      <c r="R18" s="81">
        <f>накопительная!R13</f>
        <v>99.50248756218905</v>
      </c>
    </row>
    <row r="19" spans="1:18" ht="45.75" customHeight="1">
      <c r="A19" s="79">
        <f t="shared" si="1"/>
        <v>10</v>
      </c>
      <c r="B19" s="102" t="s">
        <v>171</v>
      </c>
      <c r="C19" s="78">
        <v>40</v>
      </c>
      <c r="D19" s="117">
        <v>55</v>
      </c>
      <c r="E19" s="133">
        <f>накопительная!E14</f>
        <v>23.1</v>
      </c>
      <c r="F19" s="80" t="e">
        <f>Меню!#REF!</f>
        <v>#REF!</v>
      </c>
      <c r="G19" s="80">
        <f>Меню!L946</f>
        <v>18</v>
      </c>
      <c r="H19" s="80">
        <f>Меню!L869</f>
        <v>36</v>
      </c>
      <c r="I19" s="80">
        <f>Меню!L757</f>
        <v>28</v>
      </c>
      <c r="J19" s="80">
        <f>Меню!L665</f>
        <v>27</v>
      </c>
      <c r="K19" s="80">
        <f>Меню!L524</f>
        <v>15</v>
      </c>
      <c r="L19" s="80" t="e">
        <f>Меню!#REF!</f>
        <v>#REF!</v>
      </c>
      <c r="M19" s="80">
        <f>Меню!L433</f>
        <v>27</v>
      </c>
      <c r="N19" s="80">
        <f>Меню!L310</f>
        <v>15</v>
      </c>
      <c r="O19" s="80">
        <f>Меню!L215</f>
        <v>37</v>
      </c>
      <c r="P19" s="80" t="e">
        <f t="shared" si="0"/>
        <v>#REF!</v>
      </c>
      <c r="Q19" s="127">
        <f>накопительная!Q14</f>
        <v>23.1</v>
      </c>
      <c r="R19" s="81">
        <f>накопительная!R14</f>
        <v>100</v>
      </c>
    </row>
    <row r="20" spans="1:18" ht="35.25" customHeight="1">
      <c r="A20" s="79">
        <f t="shared" si="1"/>
        <v>11</v>
      </c>
      <c r="B20" s="102" t="s">
        <v>320</v>
      </c>
      <c r="C20" s="78">
        <v>200</v>
      </c>
      <c r="D20" s="78">
        <v>50</v>
      </c>
      <c r="E20" s="133">
        <f>накопительная!E15</f>
        <v>100</v>
      </c>
      <c r="F20" s="80" t="e">
        <f>Меню!#REF!</f>
        <v>#REF!</v>
      </c>
      <c r="G20" s="80">
        <f>Меню!L947</f>
        <v>200</v>
      </c>
      <c r="H20" s="80">
        <f>Меню!L870</f>
        <v>0</v>
      </c>
      <c r="I20" s="80">
        <f>Меню!L758</f>
        <v>0</v>
      </c>
      <c r="J20" s="80">
        <f>Меню!L666</f>
        <v>0</v>
      </c>
      <c r="K20" s="80">
        <f>Меню!L525</f>
        <v>200</v>
      </c>
      <c r="L20" s="80" t="e">
        <f>Меню!#REF!</f>
        <v>#REF!</v>
      </c>
      <c r="M20" s="80">
        <f>Меню!L434</f>
        <v>0</v>
      </c>
      <c r="N20" s="80">
        <f>Меню!L311</f>
        <v>200</v>
      </c>
      <c r="O20" s="80">
        <f>Меню!L216</f>
        <v>0</v>
      </c>
      <c r="P20" s="80" t="e">
        <f t="shared" si="0"/>
        <v>#REF!</v>
      </c>
      <c r="Q20" s="127">
        <f>накопительная!Q15</f>
        <v>100</v>
      </c>
      <c r="R20" s="81">
        <f>накопительная!R15</f>
        <v>100</v>
      </c>
    </row>
    <row r="21" spans="1:18" ht="15.75" customHeight="1">
      <c r="A21" s="79">
        <f t="shared" si="1"/>
        <v>12</v>
      </c>
      <c r="B21" s="202" t="s">
        <v>29</v>
      </c>
      <c r="C21" s="78">
        <v>10</v>
      </c>
      <c r="D21" s="78">
        <v>50</v>
      </c>
      <c r="E21" s="133">
        <f>накопительная!E16</f>
        <v>8</v>
      </c>
      <c r="F21" s="80" t="e">
        <f>Меню!#REF!</f>
        <v>#REF!</v>
      </c>
      <c r="G21" s="80">
        <f>Меню!L948</f>
        <v>0</v>
      </c>
      <c r="H21" s="80">
        <f>Меню!L871</f>
        <v>20</v>
      </c>
      <c r="I21" s="80">
        <f>Меню!L759</f>
        <v>20</v>
      </c>
      <c r="J21" s="80">
        <f>Меню!L667</f>
        <v>20</v>
      </c>
      <c r="K21" s="80">
        <f>Меню!L526</f>
        <v>0</v>
      </c>
      <c r="L21" s="80" t="e">
        <f>Меню!#REF!</f>
        <v>#REF!</v>
      </c>
      <c r="M21" s="80">
        <f>Меню!L435</f>
        <v>0</v>
      </c>
      <c r="N21" s="80">
        <f>Меню!L312</f>
        <v>0</v>
      </c>
      <c r="O21" s="80">
        <f>Меню!L217</f>
        <v>0</v>
      </c>
      <c r="P21" s="80" t="e">
        <f t="shared" si="0"/>
        <v>#REF!</v>
      </c>
      <c r="Q21" s="127">
        <f>накопительная!Q16</f>
        <v>8</v>
      </c>
      <c r="R21" s="81">
        <f>накопительная!R16</f>
        <v>100</v>
      </c>
    </row>
    <row r="22" spans="1:18" ht="15.75" customHeight="1">
      <c r="A22" s="79">
        <f t="shared" si="1"/>
        <v>13</v>
      </c>
      <c r="B22" s="202" t="s">
        <v>70</v>
      </c>
      <c r="C22" s="78">
        <v>1</v>
      </c>
      <c r="D22" s="78">
        <v>50</v>
      </c>
      <c r="E22" s="133">
        <f>накопительная!E17</f>
        <v>0.045</v>
      </c>
      <c r="F22" s="80" t="e">
        <f>Меню!#REF!</f>
        <v>#REF!</v>
      </c>
      <c r="G22" s="80">
        <f>Меню!L949</f>
        <v>0.45</v>
      </c>
      <c r="H22" s="80">
        <f>Меню!L872</f>
        <v>0</v>
      </c>
      <c r="I22" s="80">
        <f>Меню!L760</f>
        <v>0</v>
      </c>
      <c r="J22" s="80">
        <f>Меню!L668</f>
        <v>0</v>
      </c>
      <c r="K22" s="80">
        <f>Меню!L527</f>
        <v>0</v>
      </c>
      <c r="L22" s="80" t="e">
        <f>Меню!#REF!</f>
        <v>#REF!</v>
      </c>
      <c r="M22" s="80">
        <f>Меню!L436</f>
        <v>0</v>
      </c>
      <c r="N22" s="80">
        <f>Меню!L313</f>
        <v>0</v>
      </c>
      <c r="O22" s="80">
        <f>Меню!L218</f>
        <v>0</v>
      </c>
      <c r="P22" s="80" t="e">
        <f t="shared" si="0"/>
        <v>#REF!</v>
      </c>
      <c r="Q22" s="127">
        <f>накопительная!Q17</f>
        <v>0.045</v>
      </c>
      <c r="R22" s="81">
        <f>накопительная!R17</f>
        <v>100</v>
      </c>
    </row>
    <row r="23" spans="1:18" ht="15.75" customHeight="1">
      <c r="A23" s="79">
        <f t="shared" si="1"/>
        <v>14</v>
      </c>
      <c r="B23" s="202" t="s">
        <v>182</v>
      </c>
      <c r="C23" s="78">
        <v>1.2</v>
      </c>
      <c r="D23" s="78">
        <v>50</v>
      </c>
      <c r="E23" s="133">
        <f>накопительная!E18</f>
        <v>0.5</v>
      </c>
      <c r="F23" s="80" t="e">
        <f>Меню!#REF!</f>
        <v>#REF!</v>
      </c>
      <c r="G23" s="80">
        <f>Меню!L950</f>
        <v>0</v>
      </c>
      <c r="H23" s="80">
        <f>Меню!L873</f>
        <v>0</v>
      </c>
      <c r="I23" s="80">
        <f>Меню!L761</f>
        <v>0</v>
      </c>
      <c r="J23" s="80">
        <f>Меню!L669</f>
        <v>0</v>
      </c>
      <c r="K23" s="80">
        <f>Меню!L528</f>
        <v>0</v>
      </c>
      <c r="L23" s="80" t="e">
        <f>Меню!#REF!</f>
        <v>#REF!</v>
      </c>
      <c r="M23" s="80">
        <f>Меню!L437</f>
        <v>0</v>
      </c>
      <c r="N23" s="80">
        <f>Меню!L314</f>
        <v>0</v>
      </c>
      <c r="O23" s="80">
        <f>Меню!L219</f>
        <v>5</v>
      </c>
      <c r="P23" s="80" t="e">
        <f t="shared" si="0"/>
        <v>#REF!</v>
      </c>
      <c r="Q23" s="127">
        <f>накопительная!Q18</f>
        <v>0.5</v>
      </c>
      <c r="R23" s="81">
        <f>накопительная!R18</f>
        <v>100</v>
      </c>
    </row>
    <row r="24" spans="1:18" ht="15.75" customHeight="1">
      <c r="A24" s="79">
        <f t="shared" si="1"/>
        <v>15</v>
      </c>
      <c r="B24" s="202" t="s">
        <v>183</v>
      </c>
      <c r="C24" s="78"/>
      <c r="D24" s="78"/>
      <c r="E24" s="133">
        <f>накопительная!E19</f>
        <v>0.8</v>
      </c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127">
        <f>накопительная!Q19</f>
        <v>0.8</v>
      </c>
      <c r="R24" s="81">
        <f>накопительная!R19</f>
        <v>100</v>
      </c>
    </row>
    <row r="25" spans="1:18" ht="15.75" customHeight="1">
      <c r="A25" s="79">
        <f t="shared" si="1"/>
        <v>16</v>
      </c>
      <c r="B25" s="218" t="s">
        <v>30</v>
      </c>
      <c r="C25" s="100">
        <v>0.4</v>
      </c>
      <c r="D25" s="78">
        <v>50</v>
      </c>
      <c r="E25" s="133">
        <f>накопительная!E20</f>
        <v>0.6</v>
      </c>
      <c r="F25" s="100" t="e">
        <f>Меню!#REF!</f>
        <v>#REF!</v>
      </c>
      <c r="G25" s="100">
        <f>Меню!L952</f>
        <v>1</v>
      </c>
      <c r="H25" s="100">
        <f>Меню!L875</f>
        <v>1</v>
      </c>
      <c r="I25" s="100">
        <f>Меню!L763</f>
        <v>0</v>
      </c>
      <c r="J25" s="100">
        <f>Меню!L671</f>
        <v>1</v>
      </c>
      <c r="K25" s="100">
        <f>Меню!L530</f>
        <v>1</v>
      </c>
      <c r="L25" s="100" t="e">
        <f>Меню!#REF!</f>
        <v>#REF!</v>
      </c>
      <c r="M25" s="100">
        <f>Меню!L439</f>
        <v>1</v>
      </c>
      <c r="N25" s="100">
        <f>Меню!L316</f>
        <v>0</v>
      </c>
      <c r="O25" s="100">
        <f>Меню!L221</f>
        <v>0</v>
      </c>
      <c r="P25" s="80" t="e">
        <f t="shared" si="0"/>
        <v>#REF!</v>
      </c>
      <c r="Q25" s="127">
        <f>накопительная!Q20</f>
        <v>0.6</v>
      </c>
      <c r="R25" s="81">
        <f>накопительная!R20</f>
        <v>100</v>
      </c>
    </row>
    <row r="26" spans="1:18" ht="15.75" customHeight="1">
      <c r="A26" s="79">
        <f t="shared" si="1"/>
        <v>17</v>
      </c>
      <c r="B26" s="202" t="s">
        <v>172</v>
      </c>
      <c r="C26" s="78">
        <v>70</v>
      </c>
      <c r="D26" s="117">
        <v>60</v>
      </c>
      <c r="E26" s="133">
        <f>накопительная!E21</f>
        <v>43.75</v>
      </c>
      <c r="F26" s="80" t="e">
        <f>Меню!#REF!</f>
        <v>#REF!</v>
      </c>
      <c r="G26" s="80">
        <f>Меню!L953</f>
        <v>0</v>
      </c>
      <c r="H26" s="80">
        <f>Меню!L876</f>
        <v>16</v>
      </c>
      <c r="I26" s="80">
        <f>Меню!L764</f>
        <v>95</v>
      </c>
      <c r="J26" s="80">
        <f>Меню!L672</f>
        <v>0</v>
      </c>
      <c r="K26" s="80">
        <f>Меню!L531</f>
        <v>99</v>
      </c>
      <c r="L26" s="80" t="e">
        <f>Меню!#REF!</f>
        <v>#REF!</v>
      </c>
      <c r="M26" s="80">
        <f>Меню!L440</f>
        <v>95</v>
      </c>
      <c r="N26" s="80">
        <f>Меню!L317</f>
        <v>100</v>
      </c>
      <c r="O26" s="80">
        <f>Меню!L222</f>
        <v>0</v>
      </c>
      <c r="P26" s="80" t="e">
        <f t="shared" si="0"/>
        <v>#REF!</v>
      </c>
      <c r="Q26" s="127">
        <f>накопительная!Q21</f>
        <v>43.8</v>
      </c>
      <c r="R26" s="81">
        <f>накопительная!R21</f>
        <v>100.11428571428571</v>
      </c>
    </row>
    <row r="27" spans="1:18" ht="25.5" customHeight="1">
      <c r="A27" s="79">
        <f t="shared" si="1"/>
        <v>18</v>
      </c>
      <c r="B27" s="102" t="s">
        <v>174</v>
      </c>
      <c r="C27" s="78">
        <v>35</v>
      </c>
      <c r="D27" s="117">
        <v>51</v>
      </c>
      <c r="E27" s="133">
        <f>накопительная!E22</f>
        <v>32.2</v>
      </c>
      <c r="F27" s="80" t="e">
        <f>Меню!#REF!</f>
        <v>#REF!</v>
      </c>
      <c r="G27" s="80">
        <f>Меню!L954</f>
        <v>14</v>
      </c>
      <c r="H27" s="80">
        <f>Меню!L877</f>
        <v>0</v>
      </c>
      <c r="I27" s="80">
        <f>Меню!L765</f>
        <v>60</v>
      </c>
      <c r="J27" s="80">
        <f>Меню!L673</f>
        <v>69</v>
      </c>
      <c r="K27" s="80">
        <f>Меню!L532</f>
        <v>46</v>
      </c>
      <c r="L27" s="80" t="e">
        <f>Меню!#REF!</f>
        <v>#REF!</v>
      </c>
      <c r="M27" s="80">
        <f>Меню!L441</f>
        <v>72</v>
      </c>
      <c r="N27" s="80" t="str">
        <f>Меню!L318</f>
        <v>43</v>
      </c>
      <c r="O27" s="80">
        <f>Меню!L223</f>
        <v>62</v>
      </c>
      <c r="P27" s="80" t="e">
        <f t="shared" si="0"/>
        <v>#REF!</v>
      </c>
      <c r="Q27" s="127">
        <f>накопительная!Q22</f>
        <v>32.3</v>
      </c>
      <c r="R27" s="81">
        <f>накопительная!R22</f>
        <v>100.31055900621115</v>
      </c>
    </row>
    <row r="28" spans="1:18" ht="15.75" customHeight="1">
      <c r="A28" s="79">
        <f t="shared" si="1"/>
        <v>19</v>
      </c>
      <c r="B28" s="202" t="s">
        <v>173</v>
      </c>
      <c r="C28" s="78">
        <v>14.7</v>
      </c>
      <c r="D28" s="117">
        <v>65</v>
      </c>
      <c r="E28" s="133">
        <f>накопительная!E23</f>
        <v>16.8</v>
      </c>
      <c r="F28" s="80" t="e">
        <f>Меню!#REF!</f>
        <v>#REF!</v>
      </c>
      <c r="G28" s="80">
        <f>Меню!L955</f>
        <v>93</v>
      </c>
      <c r="H28" s="80">
        <f>Меню!L878</f>
        <v>0</v>
      </c>
      <c r="I28" s="80">
        <f>Меню!L766</f>
        <v>0</v>
      </c>
      <c r="J28" s="80">
        <f>Меню!L674</f>
        <v>0</v>
      </c>
      <c r="K28" s="80">
        <f>Меню!L533</f>
        <v>0</v>
      </c>
      <c r="L28" s="80" t="e">
        <f>Меню!#REF!</f>
        <v>#REF!</v>
      </c>
      <c r="M28" s="80">
        <f>Меню!L442</f>
        <v>0</v>
      </c>
      <c r="N28" s="80">
        <f>Меню!L319</f>
        <v>0</v>
      </c>
      <c r="O28" s="80">
        <f>Меню!L224</f>
        <v>0</v>
      </c>
      <c r="P28" s="80" t="e">
        <f t="shared" si="0"/>
        <v>#REF!</v>
      </c>
      <c r="Q28" s="127">
        <f>накопительная!Q23</f>
        <v>16.8</v>
      </c>
      <c r="R28" s="81">
        <f>накопительная!R23</f>
        <v>100</v>
      </c>
    </row>
    <row r="29" spans="1:18" ht="15.75" customHeight="1">
      <c r="A29" s="79">
        <f t="shared" si="1"/>
        <v>20</v>
      </c>
      <c r="B29" s="102" t="s">
        <v>175</v>
      </c>
      <c r="C29" s="78">
        <v>58</v>
      </c>
      <c r="D29" s="78">
        <v>50</v>
      </c>
      <c r="E29" s="133">
        <f>накопительная!E24</f>
        <v>46.98</v>
      </c>
      <c r="F29" s="80" t="e">
        <f>Меню!#REF!</f>
        <v>#REF!</v>
      </c>
      <c r="G29" s="80">
        <f>Меню!L956</f>
        <v>0</v>
      </c>
      <c r="H29" s="80">
        <f>Меню!L879</f>
        <v>102</v>
      </c>
      <c r="I29" s="80">
        <f>Меню!L767</f>
        <v>20</v>
      </c>
      <c r="J29" s="80">
        <f>Меню!L675</f>
        <v>68</v>
      </c>
      <c r="K29" s="80">
        <f>Меню!L534</f>
        <v>0</v>
      </c>
      <c r="L29" s="80" t="e">
        <f>Меню!#REF!</f>
        <v>#REF!</v>
      </c>
      <c r="M29" s="80">
        <f>Меню!L443</f>
        <v>0</v>
      </c>
      <c r="N29" s="80">
        <f>Меню!L320</f>
        <v>0</v>
      </c>
      <c r="O29" s="80">
        <f>Меню!L225</f>
        <v>58</v>
      </c>
      <c r="P29" s="80" t="e">
        <f t="shared" si="0"/>
        <v>#REF!</v>
      </c>
      <c r="Q29" s="127">
        <f>накопительная!Q24</f>
        <v>47.2</v>
      </c>
      <c r="R29" s="81">
        <f>накопительная!R24</f>
        <v>100.46828437633036</v>
      </c>
    </row>
    <row r="30" spans="1:18" s="98" customFormat="1" ht="17.25" customHeight="1">
      <c r="A30" s="79">
        <f t="shared" si="1"/>
        <v>21</v>
      </c>
      <c r="B30" s="206" t="s">
        <v>80</v>
      </c>
      <c r="C30" s="78">
        <v>300</v>
      </c>
      <c r="D30" s="78">
        <v>50</v>
      </c>
      <c r="E30" s="133">
        <f>накопительная!E25</f>
        <v>68.4</v>
      </c>
      <c r="F30" s="80" t="e">
        <f>Меню!#REF!</f>
        <v>#REF!</v>
      </c>
      <c r="G30" s="80">
        <f>Меню!L957</f>
        <v>175.6</v>
      </c>
      <c r="H30" s="80">
        <f>Меню!L880</f>
        <v>23</v>
      </c>
      <c r="I30" s="80">
        <f>Меню!L768</f>
        <v>68</v>
      </c>
      <c r="J30" s="80">
        <f>Меню!L676</f>
        <v>47</v>
      </c>
      <c r="K30" s="80">
        <f>Меню!L535</f>
        <v>52</v>
      </c>
      <c r="L30" s="80" t="e">
        <f>Меню!#REF!</f>
        <v>#REF!</v>
      </c>
      <c r="M30" s="80">
        <f>Меню!L444</f>
        <v>14</v>
      </c>
      <c r="N30" s="80">
        <f>Меню!L321</f>
        <v>25</v>
      </c>
      <c r="O30" s="80">
        <f>Меню!L226</f>
        <v>160</v>
      </c>
      <c r="P30" s="80" t="e">
        <f t="shared" si="0"/>
        <v>#REF!</v>
      </c>
      <c r="Q30" s="127">
        <f>накопительная!Q25</f>
        <v>68.46000000000001</v>
      </c>
      <c r="R30" s="81">
        <f>накопительная!R25</f>
        <v>100.08771929824562</v>
      </c>
    </row>
    <row r="31" spans="1:18" ht="17.25" customHeight="1">
      <c r="A31" s="79">
        <f t="shared" si="1"/>
        <v>22</v>
      </c>
      <c r="B31" s="206" t="s">
        <v>176</v>
      </c>
      <c r="C31" s="78">
        <v>150</v>
      </c>
      <c r="D31" s="117">
        <v>65</v>
      </c>
      <c r="E31" s="133">
        <f>накопительная!E26</f>
        <v>24.9</v>
      </c>
      <c r="F31" s="80" t="e">
        <f>Меню!#REF!</f>
        <v>#REF!</v>
      </c>
      <c r="G31" s="80">
        <f>Меню!L958</f>
        <v>0</v>
      </c>
      <c r="H31" s="80">
        <f>Меню!L881</f>
        <v>125</v>
      </c>
      <c r="I31" s="80">
        <f>Меню!L769</f>
        <v>0</v>
      </c>
      <c r="J31" s="80">
        <f>Меню!L677</f>
        <v>0</v>
      </c>
      <c r="K31" s="80">
        <f>Меню!L536</f>
        <v>0</v>
      </c>
      <c r="L31" s="80" t="e">
        <f>Меню!#REF!</f>
        <v>#REF!</v>
      </c>
      <c r="M31" s="80">
        <f>Меню!L445</f>
        <v>0</v>
      </c>
      <c r="N31" s="80">
        <f>Меню!L322</f>
        <v>0</v>
      </c>
      <c r="O31" s="80">
        <f>Меню!L227</f>
        <v>0</v>
      </c>
      <c r="P31" s="80" t="e">
        <f t="shared" si="0"/>
        <v>#REF!</v>
      </c>
      <c r="Q31" s="127">
        <f>накопительная!Q26</f>
        <v>25</v>
      </c>
      <c r="R31" s="81">
        <f>накопительная!R26</f>
        <v>100.40160642570282</v>
      </c>
    </row>
    <row r="32" spans="1:18" ht="17.25" customHeight="1">
      <c r="A32" s="79">
        <f t="shared" si="1"/>
        <v>23</v>
      </c>
      <c r="B32" s="102" t="s">
        <v>177</v>
      </c>
      <c r="C32" s="78">
        <v>50</v>
      </c>
      <c r="D32" s="78">
        <v>65</v>
      </c>
      <c r="E32" s="133">
        <f>накопительная!E27</f>
        <v>25</v>
      </c>
      <c r="F32" s="80" t="e">
        <f>Меню!#REF!</f>
        <v>#REF!</v>
      </c>
      <c r="G32" s="80">
        <f>Меню!L959</f>
        <v>0</v>
      </c>
      <c r="H32" s="80">
        <f>Меню!L882</f>
        <v>136</v>
      </c>
      <c r="I32" s="80">
        <f>Меню!L770</f>
        <v>0</v>
      </c>
      <c r="J32" s="80">
        <f>Меню!L678</f>
        <v>0</v>
      </c>
      <c r="K32" s="80">
        <f>Меню!L537</f>
        <v>0</v>
      </c>
      <c r="L32" s="80" t="e">
        <f>Меню!#REF!</f>
        <v>#REF!</v>
      </c>
      <c r="M32" s="80">
        <f>Меню!L446</f>
        <v>0</v>
      </c>
      <c r="N32" s="80">
        <f>Меню!L323</f>
        <v>0</v>
      </c>
      <c r="O32" s="80">
        <f>Меню!L228</f>
        <v>113</v>
      </c>
      <c r="P32" s="80" t="e">
        <f t="shared" si="0"/>
        <v>#REF!</v>
      </c>
      <c r="Q32" s="127">
        <f>накопительная!Q27</f>
        <v>24.9</v>
      </c>
      <c r="R32" s="81">
        <f>накопительная!R27</f>
        <v>99.6</v>
      </c>
    </row>
    <row r="33" spans="1:18" s="98" customFormat="1" ht="17.25" customHeight="1">
      <c r="A33" s="79">
        <f t="shared" si="1"/>
        <v>24</v>
      </c>
      <c r="B33" s="202" t="s">
        <v>31</v>
      </c>
      <c r="C33" s="78">
        <v>10</v>
      </c>
      <c r="D33" s="78">
        <v>60</v>
      </c>
      <c r="E33" s="133">
        <f>накопительная!E28</f>
        <v>9.35</v>
      </c>
      <c r="F33" s="80" t="e">
        <f>Меню!#REF!</f>
        <v>#REF!</v>
      </c>
      <c r="G33" s="80">
        <f>Меню!L960</f>
        <v>19</v>
      </c>
      <c r="H33" s="80">
        <f>Меню!L883</f>
        <v>13</v>
      </c>
      <c r="I33" s="80">
        <f>Меню!L771</f>
        <v>5</v>
      </c>
      <c r="J33" s="80">
        <f>Меню!L679</f>
        <v>0</v>
      </c>
      <c r="K33" s="80">
        <f>Меню!L538</f>
        <v>15</v>
      </c>
      <c r="L33" s="80" t="e">
        <f>Меню!#REF!</f>
        <v>#REF!</v>
      </c>
      <c r="M33" s="80">
        <f>Меню!L447</f>
        <v>0</v>
      </c>
      <c r="N33" s="80">
        <f>Меню!L324</f>
        <v>15</v>
      </c>
      <c r="O33" s="80">
        <f>Меню!L229</f>
        <v>4</v>
      </c>
      <c r="P33" s="80" t="e">
        <f t="shared" si="0"/>
        <v>#REF!</v>
      </c>
      <c r="Q33" s="127">
        <f>накопительная!Q28</f>
        <v>9.35</v>
      </c>
      <c r="R33" s="81">
        <f>накопительная!R28</f>
        <v>100</v>
      </c>
    </row>
    <row r="34" spans="1:18" ht="15.75" customHeight="1">
      <c r="A34" s="79">
        <f t="shared" si="1"/>
        <v>25</v>
      </c>
      <c r="B34" s="202" t="s">
        <v>178</v>
      </c>
      <c r="C34" s="78">
        <v>9.8</v>
      </c>
      <c r="D34" s="117">
        <v>60</v>
      </c>
      <c r="E34" s="133">
        <f>накопительная!E29</f>
        <v>6.3</v>
      </c>
      <c r="F34" s="80" t="e">
        <f>Меню!#REF!</f>
        <v>#REF!</v>
      </c>
      <c r="G34" s="80">
        <f>Меню!L961</f>
        <v>18</v>
      </c>
      <c r="H34" s="80">
        <f>Меню!L884</f>
        <v>0</v>
      </c>
      <c r="I34" s="80">
        <f>Меню!L772</f>
        <v>0</v>
      </c>
      <c r="J34" s="80">
        <f>Меню!L680</f>
        <v>0</v>
      </c>
      <c r="K34" s="80">
        <f>Меню!L539</f>
        <v>15</v>
      </c>
      <c r="L34" s="80" t="e">
        <f>Меню!#REF!</f>
        <v>#REF!</v>
      </c>
      <c r="M34" s="80">
        <f>Меню!L448</f>
        <v>4</v>
      </c>
      <c r="N34" s="80">
        <f>Меню!L325</f>
        <v>6</v>
      </c>
      <c r="O34" s="80">
        <f>Меню!L230</f>
        <v>15</v>
      </c>
      <c r="P34" s="80" t="e">
        <f t="shared" si="0"/>
        <v>#REF!</v>
      </c>
      <c r="Q34" s="127">
        <f>накопительная!Q29</f>
        <v>6.3</v>
      </c>
      <c r="R34" s="81">
        <f>накопительная!R29</f>
        <v>100</v>
      </c>
    </row>
    <row r="35" spans="1:18" ht="15.75" customHeight="1">
      <c r="A35" s="79">
        <f t="shared" si="1"/>
        <v>26</v>
      </c>
      <c r="B35" s="202" t="s">
        <v>32</v>
      </c>
      <c r="C35" s="80">
        <v>30</v>
      </c>
      <c r="D35" s="78">
        <v>50</v>
      </c>
      <c r="E35" s="133">
        <f>накопительная!E30</f>
        <v>19.5</v>
      </c>
      <c r="F35" s="80" t="e">
        <f>Меню!#REF!</f>
        <v>#REF!</v>
      </c>
      <c r="G35" s="80">
        <f>Меню!L962</f>
        <v>43</v>
      </c>
      <c r="H35" s="80">
        <f>Меню!L885</f>
        <v>27.5</v>
      </c>
      <c r="I35" s="80">
        <f>Меню!L773</f>
        <v>10</v>
      </c>
      <c r="J35" s="80">
        <f>Меню!L681</f>
        <v>14</v>
      </c>
      <c r="K35" s="80">
        <f>Меню!L540</f>
        <v>15</v>
      </c>
      <c r="L35" s="80" t="e">
        <f>Меню!#REF!</f>
        <v>#REF!</v>
      </c>
      <c r="M35" s="80">
        <f>Меню!L449</f>
        <v>16</v>
      </c>
      <c r="N35" s="80">
        <f>Меню!L326</f>
        <v>28</v>
      </c>
      <c r="O35" s="80">
        <f>Меню!L231</f>
        <v>8</v>
      </c>
      <c r="P35" s="80" t="e">
        <f t="shared" si="0"/>
        <v>#REF!</v>
      </c>
      <c r="Q35" s="127">
        <f>накопительная!Q30</f>
        <v>19.55</v>
      </c>
      <c r="R35" s="81">
        <f>накопительная!R30</f>
        <v>100.25641025641026</v>
      </c>
    </row>
    <row r="36" spans="1:18" ht="15.75" customHeight="1">
      <c r="A36" s="79">
        <f t="shared" si="1"/>
        <v>27</v>
      </c>
      <c r="B36" s="202" t="s">
        <v>33</v>
      </c>
      <c r="C36" s="78">
        <v>15</v>
      </c>
      <c r="D36" s="78">
        <v>50</v>
      </c>
      <c r="E36" s="133">
        <f>накопительная!E31</f>
        <v>10.95</v>
      </c>
      <c r="F36" s="80" t="e">
        <f>Меню!#REF!</f>
        <v>#REF!</v>
      </c>
      <c r="G36" s="80">
        <f>Меню!L963</f>
        <v>7.5</v>
      </c>
      <c r="H36" s="80">
        <f>Меню!L886</f>
        <v>7</v>
      </c>
      <c r="I36" s="80">
        <f>Меню!L774</f>
        <v>19</v>
      </c>
      <c r="J36" s="80">
        <f>Меню!L682</f>
        <v>10</v>
      </c>
      <c r="K36" s="80">
        <f>Меню!L541</f>
        <v>11</v>
      </c>
      <c r="L36" s="80" t="e">
        <f>Меню!#REF!</f>
        <v>#REF!</v>
      </c>
      <c r="M36" s="80">
        <f>Меню!L450</f>
        <v>10.5</v>
      </c>
      <c r="N36" s="80">
        <f>Меню!L327</f>
        <v>8</v>
      </c>
      <c r="O36" s="80">
        <f>Меню!L232</f>
        <v>13</v>
      </c>
      <c r="P36" s="80" t="e">
        <f t="shared" si="0"/>
        <v>#REF!</v>
      </c>
      <c r="Q36" s="127">
        <f>накопительная!Q31</f>
        <v>11</v>
      </c>
      <c r="R36" s="81">
        <f>накопительная!R31</f>
        <v>100.45662100456622</v>
      </c>
    </row>
    <row r="37" spans="1:18" s="103" customFormat="1" ht="15.75" customHeight="1">
      <c r="A37" s="79">
        <f t="shared" si="1"/>
        <v>28</v>
      </c>
      <c r="B37" s="202" t="s">
        <v>179</v>
      </c>
      <c r="C37" s="78">
        <v>40</v>
      </c>
      <c r="D37" s="78">
        <v>50</v>
      </c>
      <c r="E37" s="133">
        <f>накопительная!E32</f>
        <v>34.8</v>
      </c>
      <c r="F37" s="80" t="e">
        <f>Меню!#REF!</f>
        <v>#REF!</v>
      </c>
      <c r="G37" s="80">
        <f>Меню!L964</f>
        <v>22.5</v>
      </c>
      <c r="H37" s="80">
        <f>Меню!L887</f>
        <v>8</v>
      </c>
      <c r="I37" s="80">
        <f>Меню!L775</f>
        <v>6.5</v>
      </c>
      <c r="J37" s="80">
        <f>Меню!L683</f>
        <v>126.8</v>
      </c>
      <c r="K37" s="80">
        <f>Меню!L542</f>
        <v>11.5</v>
      </c>
      <c r="L37" s="80" t="e">
        <f>Меню!#REF!</f>
        <v>#REF!</v>
      </c>
      <c r="M37" s="80">
        <f>Меню!L451</f>
        <v>4</v>
      </c>
      <c r="N37" s="80">
        <f>Меню!L328</f>
        <v>10.5</v>
      </c>
      <c r="O37" s="80">
        <f>Меню!L233</f>
        <v>4</v>
      </c>
      <c r="P37" s="80" t="e">
        <f t="shared" si="0"/>
        <v>#REF!</v>
      </c>
      <c r="Q37" s="127">
        <f>накопительная!Q32</f>
        <v>34.9</v>
      </c>
      <c r="R37" s="81">
        <f>накопительная!R32</f>
        <v>100.28735632183908</v>
      </c>
    </row>
    <row r="38" spans="1:18" ht="15.75" customHeight="1">
      <c r="A38" s="79">
        <f t="shared" si="1"/>
        <v>29</v>
      </c>
      <c r="B38" s="102" t="s">
        <v>181</v>
      </c>
      <c r="C38" s="78">
        <v>5</v>
      </c>
      <c r="D38" s="78">
        <v>50</v>
      </c>
      <c r="E38" s="133">
        <f>накопительная!E34</f>
        <v>1.5</v>
      </c>
      <c r="F38" s="100">
        <v>2.5</v>
      </c>
      <c r="G38" s="100">
        <v>2.5</v>
      </c>
      <c r="H38" s="100">
        <v>2.5</v>
      </c>
      <c r="I38" s="100">
        <v>2.5</v>
      </c>
      <c r="J38" s="100">
        <v>2.5</v>
      </c>
      <c r="K38" s="100">
        <v>2.5</v>
      </c>
      <c r="L38" s="100">
        <v>2.5</v>
      </c>
      <c r="M38" s="100">
        <v>2.5</v>
      </c>
      <c r="N38" s="100">
        <v>2.5</v>
      </c>
      <c r="O38" s="100">
        <v>2.5</v>
      </c>
      <c r="P38" s="80">
        <f t="shared" si="0"/>
        <v>25</v>
      </c>
      <c r="Q38" s="127">
        <f>накопительная!Q34</f>
        <v>1.5</v>
      </c>
      <c r="R38" s="81">
        <f>накопительная!R34</f>
        <v>100</v>
      </c>
    </row>
    <row r="39" spans="1:18" ht="15.75" customHeight="1">
      <c r="A39" s="79">
        <f t="shared" si="1"/>
        <v>30</v>
      </c>
      <c r="B39" s="202" t="s">
        <v>180</v>
      </c>
      <c r="C39" s="216"/>
      <c r="D39" s="216"/>
      <c r="E39" s="133">
        <f>накопительная!E35</f>
        <v>1</v>
      </c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8"/>
      <c r="Q39" s="127">
        <f>накопительная!Q35</f>
        <v>1</v>
      </c>
      <c r="R39" s="81">
        <f>накопительная!R35</f>
        <v>100</v>
      </c>
    </row>
    <row r="40" spans="1:18" ht="47.25" customHeight="1">
      <c r="A40" s="528" t="s">
        <v>200</v>
      </c>
      <c r="B40" s="528"/>
      <c r="C40" s="528"/>
      <c r="D40" s="528"/>
      <c r="E40" s="528"/>
      <c r="F40" s="528"/>
      <c r="G40" s="528"/>
      <c r="H40" s="528"/>
      <c r="I40" s="528"/>
      <c r="J40" s="528"/>
      <c r="K40" s="528"/>
      <c r="L40" s="528"/>
      <c r="M40" s="528"/>
      <c r="N40" s="528"/>
      <c r="O40" s="528"/>
      <c r="P40" s="528"/>
      <c r="Q40" s="528"/>
      <c r="R40" s="528"/>
    </row>
  </sheetData>
  <sheetProtection password="CF52" sheet="1"/>
  <mergeCells count="11">
    <mergeCell ref="P7:P9"/>
    <mergeCell ref="Q7:Q9"/>
    <mergeCell ref="R7:R9"/>
    <mergeCell ref="F8:O8"/>
    <mergeCell ref="A40:R40"/>
    <mergeCell ref="A6:R6"/>
    <mergeCell ref="A7:A9"/>
    <mergeCell ref="B7:B9"/>
    <mergeCell ref="C7:C9"/>
    <mergeCell ref="E7:E9"/>
    <mergeCell ref="F7:O7"/>
  </mergeCells>
  <printOptions/>
  <pageMargins left="0.5905511811023623" right="0.5905511811023623" top="0.35433070866141736" bottom="0.35433070866141736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K12" sqref="K12"/>
    </sheetView>
  </sheetViews>
  <sheetFormatPr defaultColWidth="9.140625" defaultRowHeight="12.75"/>
  <cols>
    <col min="7" max="7" width="10.00390625" style="0" customWidth="1"/>
    <col min="8" max="8" width="13.421875" style="0" customWidth="1"/>
  </cols>
  <sheetData>
    <row r="1" spans="1:8" ht="12.75">
      <c r="A1" s="530" t="s">
        <v>453</v>
      </c>
      <c r="B1" s="530"/>
      <c r="C1" s="530"/>
      <c r="D1" s="530"/>
      <c r="E1" s="530"/>
      <c r="F1" s="530"/>
      <c r="G1" s="530"/>
      <c r="H1" s="530"/>
    </row>
    <row r="3" spans="1:10" ht="52.5" customHeight="1">
      <c r="A3" s="531" t="s">
        <v>189</v>
      </c>
      <c r="B3" s="532"/>
      <c r="C3" s="532"/>
      <c r="D3" s="532"/>
      <c r="E3" s="358">
        <f>Меню!E508</f>
        <v>46.67106666666667</v>
      </c>
      <c r="F3" s="358">
        <f>Меню!F508</f>
        <v>46.504999999999995</v>
      </c>
      <c r="G3" s="96">
        <f>Меню!G508</f>
        <v>180.038</v>
      </c>
      <c r="H3" s="96">
        <f>Меню!H508</f>
        <v>1325.0812666666666</v>
      </c>
      <c r="J3" s="459"/>
    </row>
    <row r="4" spans="1:8" ht="52.5" customHeight="1">
      <c r="A4" s="531" t="s">
        <v>185</v>
      </c>
      <c r="B4" s="532"/>
      <c r="C4" s="532"/>
      <c r="D4" s="532"/>
      <c r="E4" s="96" t="s">
        <v>186</v>
      </c>
      <c r="F4" s="96" t="s">
        <v>187</v>
      </c>
      <c r="G4" s="96" t="s">
        <v>188</v>
      </c>
      <c r="H4" s="96" t="s">
        <v>158</v>
      </c>
    </row>
    <row r="6" spans="1:8" ht="12.75">
      <c r="A6" s="530" t="s">
        <v>454</v>
      </c>
      <c r="B6" s="530"/>
      <c r="C6" s="530"/>
      <c r="D6" s="530"/>
      <c r="E6" s="530"/>
      <c r="F6" s="530"/>
      <c r="G6" s="530"/>
      <c r="H6" s="530"/>
    </row>
    <row r="8" spans="1:8" ht="52.5" customHeight="1">
      <c r="A8" s="531" t="s">
        <v>189</v>
      </c>
      <c r="B8" s="532"/>
      <c r="C8" s="532"/>
      <c r="D8" s="532"/>
      <c r="E8" s="96">
        <f>Меню!E1044</f>
        <v>44.47</v>
      </c>
      <c r="F8" s="96">
        <f>Меню!F1044</f>
        <v>45.73499999999999</v>
      </c>
      <c r="G8" s="96">
        <f>Меню!G1044</f>
        <v>184.01333333333335</v>
      </c>
      <c r="H8" s="96">
        <f>Меню!H1044</f>
        <v>1325.915</v>
      </c>
    </row>
    <row r="9" spans="1:8" ht="52.5" customHeight="1">
      <c r="A9" s="531" t="s">
        <v>185</v>
      </c>
      <c r="B9" s="532"/>
      <c r="C9" s="532"/>
      <c r="D9" s="532"/>
      <c r="E9" s="96" t="s">
        <v>186</v>
      </c>
      <c r="F9" s="96" t="s">
        <v>187</v>
      </c>
      <c r="G9" s="96" t="s">
        <v>188</v>
      </c>
      <c r="H9" s="96" t="s">
        <v>158</v>
      </c>
    </row>
  </sheetData>
  <sheetProtection password="CF52" sheet="1"/>
  <mergeCells count="6">
    <mergeCell ref="A1:H1"/>
    <mergeCell ref="A6:H6"/>
    <mergeCell ref="A8:D8"/>
    <mergeCell ref="A9:D9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PageLayoutView="0" workbookViewId="0" topLeftCell="A1">
      <selection activeCell="A18" sqref="A18:A19"/>
    </sheetView>
  </sheetViews>
  <sheetFormatPr defaultColWidth="9.140625" defaultRowHeight="12.75"/>
  <cols>
    <col min="1" max="2" width="14.8515625" style="220" customWidth="1"/>
    <col min="3" max="10" width="14.8515625" style="284" customWidth="1"/>
    <col min="22" max="16384" width="9.140625" style="61" customWidth="1"/>
  </cols>
  <sheetData>
    <row r="1" spans="1:21" ht="12.75">
      <c r="A1" s="533" t="str">
        <f>Меню!A3</f>
        <v>10-ти ДНЕВНОЕ МЕНЮ №2348 от 16.06.2022г</v>
      </c>
      <c r="B1" s="533"/>
      <c r="C1" s="533"/>
      <c r="D1" s="533"/>
      <c r="E1" s="533"/>
      <c r="F1" s="533"/>
      <c r="G1" s="533"/>
      <c r="H1" s="533"/>
      <c r="I1" s="533"/>
      <c r="J1" s="533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ht="12.75">
      <c r="A2" s="265">
        <v>1</v>
      </c>
      <c r="B2" s="265">
        <v>2</v>
      </c>
      <c r="C2" s="265">
        <v>3</v>
      </c>
      <c r="D2" s="265">
        <v>4</v>
      </c>
      <c r="E2" s="265">
        <v>5</v>
      </c>
      <c r="F2" s="265">
        <v>6</v>
      </c>
      <c r="G2" s="265">
        <v>7</v>
      </c>
      <c r="H2" s="265">
        <v>8</v>
      </c>
      <c r="I2" s="265">
        <v>9</v>
      </c>
      <c r="J2" s="265">
        <v>10</v>
      </c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ht="12.75">
      <c r="A3" s="535" t="s">
        <v>106</v>
      </c>
      <c r="B3" s="535"/>
      <c r="C3" s="535"/>
      <c r="D3" s="535"/>
      <c r="E3" s="535"/>
      <c r="F3" s="535"/>
      <c r="G3" s="535"/>
      <c r="H3" s="535"/>
      <c r="I3" s="535"/>
      <c r="J3" s="535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</row>
    <row r="4" spans="1:21" ht="30" customHeight="1">
      <c r="A4" s="283" t="str">
        <f>Меню!A12</f>
        <v>Омлет натуральный с маслом с подгарнировкой </v>
      </c>
      <c r="B4" s="283" t="str">
        <f>Меню!A106</f>
        <v>Рыба запеченная с сыром (Технико - технологическая карта № 1, разработана АУ ТО "Центр технологического контроля")</v>
      </c>
      <c r="C4" s="283" t="str">
        <f>Меню!A209</f>
        <v>Сырники из творога запечённые с молоком сгущенным  </v>
      </c>
      <c r="D4" s="283" t="str">
        <f>Меню!A303</f>
        <v>Куриные мячики с маслом (Технико - технологическая карта № 3, разработана АУ ТО "Центр технологического контроля")</v>
      </c>
      <c r="E4" s="283" t="str">
        <f>Меню!A423</f>
        <v>Гуляш </v>
      </c>
      <c r="F4" s="283" t="str">
        <f>Меню!A518</f>
        <v>Фрикадельки из кур и говядины</v>
      </c>
      <c r="G4" s="283" t="str">
        <f>Меню!A659</f>
        <v>Омлет натуральный с маслом  с подгарнировкой </v>
      </c>
      <c r="H4" s="283" t="str">
        <f>Меню!A745</f>
        <v>Плов из говядины </v>
      </c>
      <c r="I4" s="283" t="str">
        <f>Меню!A861</f>
        <v>Суфле творожное со сладкой глазурью</v>
      </c>
      <c r="J4" s="283" t="str">
        <f>Меню!A936</f>
        <v>Каша "Дружба" </v>
      </c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</row>
    <row r="5" spans="1:21" ht="21" customHeight="1">
      <c r="A5" s="287"/>
      <c r="B5" s="287"/>
      <c r="C5" s="287" t="str">
        <f>Меню!A221</f>
        <v>Запеканка из творога со сгущённым молоком </v>
      </c>
      <c r="D5" s="287" t="str">
        <f>Меню!A321</f>
        <v>Биточки особые (из свинины мясной и филе индейки) с маслом</v>
      </c>
      <c r="E5" s="287"/>
      <c r="F5" s="287" t="str">
        <f>Меню!A533</f>
        <v>Котлеты из мяса</v>
      </c>
      <c r="G5" s="167"/>
      <c r="H5" s="287"/>
      <c r="I5" s="287"/>
      <c r="J5" s="287" t="str">
        <f>Меню!A948</f>
        <v>Каша "Янтарная" из пшена с яблоками  </v>
      </c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</row>
    <row r="6" spans="1:21" ht="21" customHeight="1">
      <c r="A6" s="287"/>
      <c r="B6" s="287"/>
      <c r="C6" s="287"/>
      <c r="D6" s="287" t="str">
        <f>Меню!A338</f>
        <v>Котлеты из мяса с маслом </v>
      </c>
      <c r="E6" s="287"/>
      <c r="F6" s="287"/>
      <c r="G6" s="167"/>
      <c r="H6" s="287"/>
      <c r="I6" s="287"/>
      <c r="J6" s="287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</row>
    <row r="7" spans="1:21" ht="41.25" customHeight="1">
      <c r="A7" s="283" t="str">
        <f>Меню!A22</f>
        <v>Овощи на подгарнировку</v>
      </c>
      <c r="B7" s="283" t="str">
        <f>Меню!A116</f>
        <v>Пюре картофельное </v>
      </c>
      <c r="C7" s="265"/>
      <c r="D7" s="283" t="str">
        <f>Меню!A352</f>
        <v>Картофель тушеный  </v>
      </c>
      <c r="E7" s="283" t="str">
        <f>Меню!A430</f>
        <v>Макаронные изделия отварные </v>
      </c>
      <c r="F7" s="283" t="str">
        <f>Меню!A546</f>
        <v>Пюре картофельное с подгарнировкой (помидоры, огурцы) </v>
      </c>
      <c r="G7" s="283" t="str">
        <f>Меню!A669</f>
        <v>Овощи на подгарнировку</v>
      </c>
      <c r="H7" s="283"/>
      <c r="I7" s="283"/>
      <c r="J7" s="283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</row>
    <row r="8" spans="1:21" ht="30" customHeight="1">
      <c r="A8" s="287" t="str">
        <f>Меню!A27</f>
        <v>Овощи свежемороженые припущенные </v>
      </c>
      <c r="B8" s="287"/>
      <c r="C8" s="288"/>
      <c r="D8" s="287"/>
      <c r="E8" s="287"/>
      <c r="F8" s="287"/>
      <c r="G8" s="287" t="str">
        <f>Меню!A674</f>
        <v>Овощи свежемороженые припущенные </v>
      </c>
      <c r="H8" s="287" t="str">
        <f>Меню!A755</f>
        <v>Овощи свежие (огурцы) </v>
      </c>
      <c r="I8" s="287"/>
      <c r="J8" s="287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</row>
    <row r="9" spans="1:21" ht="40.5" customHeight="1">
      <c r="A9" s="283" t="str">
        <f>Меню!A9</f>
        <v>Бутерброд с джемом или повидлом </v>
      </c>
      <c r="B9" s="283" t="str">
        <f>Меню!A127</f>
        <v>Овощи свежие или консервированные (помидоры) на подгарнировку</v>
      </c>
      <c r="C9" s="283" t="str">
        <f>Меню!A206</f>
        <v>Бутерброд с сыром </v>
      </c>
      <c r="D9" s="283"/>
      <c r="E9" s="283" t="str">
        <f>Меню!A433</f>
        <v>Овощи свежие или консервированные (помидоры) на подгарнировку</v>
      </c>
      <c r="F9" s="283" t="str">
        <f>Меню!A515</f>
        <v>Бутерброд с сыром </v>
      </c>
      <c r="G9" s="283" t="str">
        <f>Меню!A656</f>
        <v>Бутерброд с джемом или повидлом </v>
      </c>
      <c r="H9" s="283" t="str">
        <f>Меню!A759</f>
        <v>Овощи консервированные без уксуса (огурцы)</v>
      </c>
      <c r="I9" s="283" t="str">
        <f>Меню!A858</f>
        <v>Бутерброд с маслом </v>
      </c>
      <c r="J9" s="283" t="str">
        <f>Меню!A962</f>
        <v>Сырная палочка (Технико - технологическая карта №5, разработана АУ ТО "Центр технологического контроля")</v>
      </c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</row>
    <row r="10" spans="1:21" ht="18.75" customHeight="1">
      <c r="A10" s="283" t="str">
        <f>Меню!A30</f>
        <v>Кофейный напиток </v>
      </c>
      <c r="B10" s="283" t="str">
        <f>Меню!A131</f>
        <v>Чай с сахаром </v>
      </c>
      <c r="C10" s="283" t="str">
        <f>Меню!A232</f>
        <v>Какао с молоком </v>
      </c>
      <c r="D10" s="283" t="str">
        <f>Меню!A363</f>
        <v>Компот из сухофруктов </v>
      </c>
      <c r="E10" s="283" t="str">
        <f>Меню!A437</f>
        <v>Чай с сахаром </v>
      </c>
      <c r="F10" s="283" t="str">
        <f>Меню!A563</f>
        <v>Чай с лимоном </v>
      </c>
      <c r="G10" s="283" t="str">
        <f>Меню!A677</f>
        <v>Чай с сахаром </v>
      </c>
      <c r="H10" s="283" t="str">
        <f>Меню!A761</f>
        <v>Кофейный напиток </v>
      </c>
      <c r="I10" s="283" t="str">
        <f>Меню!A869</f>
        <v>Чай с лимоном </v>
      </c>
      <c r="J10" s="283" t="str">
        <f>Меню!A977</f>
        <v>Чай с сахаром </v>
      </c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</row>
    <row r="11" spans="1:21" ht="21" customHeight="1">
      <c r="A11" s="283" t="str">
        <f>Меню!A38</f>
        <v>Йогурт в ассортименте</v>
      </c>
      <c r="B11" s="283" t="str">
        <f>Меню!A134</f>
        <v>Фрукты в ассортименте</v>
      </c>
      <c r="C11" s="283" t="str">
        <f>Меню!A240</f>
        <v>Фрукты в ассортименте</v>
      </c>
      <c r="D11" s="283" t="str">
        <f>Меню!A362</f>
        <v>Фрукты в ассортименте</v>
      </c>
      <c r="E11" s="283"/>
      <c r="F11" s="283" t="str">
        <f>Меню!A568</f>
        <v>Фрукты в ассортименте</v>
      </c>
      <c r="G11" s="283" t="str">
        <f>Меню!A681</f>
        <v>Фрукты в ассортименте</v>
      </c>
      <c r="H11" s="283"/>
      <c r="I11" s="283" t="str">
        <f>Меню!A873</f>
        <v>Йогурт в ассортименте</v>
      </c>
      <c r="J11" s="283" t="str">
        <f>Меню!A976</f>
        <v>Фрукты в ассортименте</v>
      </c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</row>
    <row r="12" spans="1:21" ht="12.75">
      <c r="A12" s="534" t="s">
        <v>63</v>
      </c>
      <c r="B12" s="534"/>
      <c r="C12" s="534"/>
      <c r="D12" s="534"/>
      <c r="E12" s="534"/>
      <c r="F12" s="534"/>
      <c r="G12" s="534"/>
      <c r="H12" s="534"/>
      <c r="I12" s="534"/>
      <c r="J12" s="534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</row>
    <row r="13" spans="1:21" ht="33" customHeight="1">
      <c r="A13" s="283" t="str">
        <f>Меню!A41</f>
        <v>Винегрет овощной </v>
      </c>
      <c r="B13" s="283" t="str">
        <f>Меню!A139</f>
        <v>Салат картофельный с зеленым горошком</v>
      </c>
      <c r="C13" s="283" t="str">
        <f>Меню!A246</f>
        <v>Овощи консервированные без уксуса (огурцы)</v>
      </c>
      <c r="D13" s="283" t="str">
        <f>Меню!A369</f>
        <v>Салат "Пестрый" (Технико - технологическая карта №2, разработана АУ ТО "Центр технологического контроля")</v>
      </c>
      <c r="E13" s="283" t="str">
        <f>Меню!A442</f>
        <v>Салат из консервированного огурца с луком </v>
      </c>
      <c r="F13" s="283" t="str">
        <f>Меню!A570</f>
        <v>Салат из свеклы отварной с огурцами </v>
      </c>
      <c r="G13" s="283" t="str">
        <f>Меню!A683</f>
        <v>Салат из белокочанной капусты с огурцами свежими </v>
      </c>
      <c r="H13" s="283" t="str">
        <f>Меню!A773</f>
        <v>Салат "Несвижский" </v>
      </c>
      <c r="I13" s="283" t="str">
        <f>Меню!A875</f>
        <v>Салат из капусты белокочанной с морковью </v>
      </c>
      <c r="J13" s="283" t="str">
        <f>Меню!A981</f>
        <v>Винегрет овощной с фасолью</v>
      </c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</row>
    <row r="14" spans="1:21" ht="30" customHeight="1">
      <c r="A14" s="287"/>
      <c r="B14" s="287"/>
      <c r="C14" s="287" t="str">
        <f>Меню!A242</f>
        <v>Овощи свежие (огурцы) </v>
      </c>
      <c r="D14" s="287"/>
      <c r="E14" s="287" t="str">
        <f>Меню!A448</f>
        <v>Салат из огурцов  </v>
      </c>
      <c r="F14" s="287"/>
      <c r="G14" s="287"/>
      <c r="H14" s="287" t="str">
        <f>Меню!A786</f>
        <v>Салат из свежих помидоров </v>
      </c>
      <c r="I14" s="287" t="str">
        <f>Меню!A885</f>
        <v>Овощи свежие или консервированные (помидоры)</v>
      </c>
      <c r="J14" s="287" t="str">
        <f>Меню!A994</f>
        <v>Салат "Полонынский"</v>
      </c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</row>
    <row r="15" spans="1:21" ht="30" customHeight="1">
      <c r="A15" s="287"/>
      <c r="B15" s="287"/>
      <c r="C15" s="287"/>
      <c r="D15" s="287"/>
      <c r="E15" s="287"/>
      <c r="F15" s="287"/>
      <c r="G15" s="287"/>
      <c r="H15" s="287"/>
      <c r="I15" s="287"/>
      <c r="J15" s="287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</row>
    <row r="16" spans="1:21" ht="50.25" customHeight="1">
      <c r="A16" s="283" t="str">
        <f>Меню!A57</f>
        <v>Суп крестьянский с крупой с мясом и сметаной  </v>
      </c>
      <c r="B16" s="283" t="str">
        <f>Меню!A151</f>
        <v>Борщ из свежей капусты с картофелем, со сметаной, с мясными фрикадельками </v>
      </c>
      <c r="C16" s="283" t="str">
        <f>Меню!A247</f>
        <v>Уха рыбацкая</v>
      </c>
      <c r="D16" s="283" t="str">
        <f>Меню!A377</f>
        <v>Солянка из мяса со сметаной (Технико - технологическая карта №4, разработана АУ ТО "Центр технологического контроля")</v>
      </c>
      <c r="E16" s="283" t="str">
        <f>Меню!A452</f>
        <v>Суп гороховый с гренками и мясом </v>
      </c>
      <c r="F16" s="283" t="str">
        <f>Меню!A575</f>
        <v>Суп-лапша домашняя, с курицей </v>
      </c>
      <c r="G16" s="283" t="str">
        <f>Меню!A694</f>
        <v>Суп картофельный с рыбными фрикадельками </v>
      </c>
      <c r="H16" s="283" t="str">
        <f>Меню!A790</f>
        <v>Борщ "Сибирский" с мясом со сметаной  </v>
      </c>
      <c r="I16" s="283" t="str">
        <f>Меню!A889</f>
        <v>Рассольник Ленинградский  с мясом и сметаной </v>
      </c>
      <c r="J16" s="283" t="str">
        <f>Меню!A1004</f>
        <v>Суп из овощей с яйцом, с курицей</v>
      </c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</row>
    <row r="17" spans="1:21" ht="29.25" customHeight="1">
      <c r="A17" s="289"/>
      <c r="B17" s="287"/>
      <c r="C17" s="287"/>
      <c r="D17" s="287"/>
      <c r="E17" s="287"/>
      <c r="F17" s="287" t="str">
        <f>Меню!A579</f>
        <v>ИЛИ Суп-лапша домашняя, с мясными фрикадельками </v>
      </c>
      <c r="G17" s="287"/>
      <c r="H17" s="287"/>
      <c r="I17" s="287"/>
      <c r="J17" s="287" t="str">
        <f>Меню!A1008</f>
        <v>ИЛИ Суп из овощей с яйцом, с мясом</v>
      </c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</row>
    <row r="18" spans="1:21" ht="29.25" customHeight="1">
      <c r="A18" s="289"/>
      <c r="B18" s="289"/>
      <c r="C18" s="289"/>
      <c r="D18" s="289"/>
      <c r="E18" s="289"/>
      <c r="F18" s="289"/>
      <c r="G18" s="289"/>
      <c r="H18" s="289"/>
      <c r="I18" s="289"/>
      <c r="J18" s="289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</row>
    <row r="19" spans="1:21" ht="28.5" customHeight="1">
      <c r="A19" s="285" t="str">
        <f>Меню!A72</f>
        <v>Рыба, тушеная в томате с овощами </v>
      </c>
      <c r="B19" s="285" t="str">
        <f>Меню!A172</f>
        <v>Тефтели из печени с соусом</v>
      </c>
      <c r="C19" s="285" t="str">
        <f>Меню!A259</f>
        <v>Жаркое из птицы </v>
      </c>
      <c r="D19" s="285" t="str">
        <f>Меню!A391</f>
        <v>Котлеты из мяса по домашнему (свинина мясная и говядина) с маслом</v>
      </c>
      <c r="E19" s="285" t="str">
        <f>Меню!A466</f>
        <v>Зразы рубленные из индейки с сыром</v>
      </c>
      <c r="F19" s="285" t="str">
        <f>Меню!A598</f>
        <v>Шницель из птицы с маслом  </v>
      </c>
      <c r="G19" s="285" t="str">
        <f>Меню!A711</f>
        <v>Птица, в соусе с томатом</v>
      </c>
      <c r="H19" s="285" t="str">
        <f>Меню!A809</f>
        <v>Биточки рубленные из птицы запеченные с маслом</v>
      </c>
      <c r="I19" s="285" t="str">
        <f>Меню!A904</f>
        <v>Рыба запечённая с маслом </v>
      </c>
      <c r="J19" s="285" t="str">
        <f>Меню!A1021</f>
        <v>Печень, тушеная в соусе </v>
      </c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</row>
    <row r="20" spans="1:21" ht="21.75" customHeight="1">
      <c r="A20" s="287"/>
      <c r="B20" s="287"/>
      <c r="C20" s="287" t="str">
        <f>Меню!A278</f>
        <v>Жаркое по - домашнему </v>
      </c>
      <c r="D20" s="287"/>
      <c r="E20" s="287" t="str">
        <f>Меню!A479</f>
        <v>Шницель из мяса</v>
      </c>
      <c r="F20" s="287" t="str">
        <f>Меню!A613</f>
        <v>Шницель из мяса с маслом</v>
      </c>
      <c r="G20" s="287" t="str">
        <f>Меню!A723</f>
        <v>Гуляш </v>
      </c>
      <c r="H20" s="287" t="str">
        <f>Меню!A824</f>
        <v>Биточки из мяса с маслом</v>
      </c>
      <c r="I20" s="287"/>
      <c r="J20" s="287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</row>
    <row r="21" spans="1:21" ht="21.75" customHeight="1">
      <c r="A21" s="287"/>
      <c r="B21" s="287"/>
      <c r="C21" s="287"/>
      <c r="D21" s="287"/>
      <c r="E21" s="287"/>
      <c r="F21" s="287"/>
      <c r="G21" s="287"/>
      <c r="H21" s="287"/>
      <c r="I21" s="287"/>
      <c r="J21" s="287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</row>
    <row r="22" spans="1:21" ht="21" customHeight="1">
      <c r="A22" s="287"/>
      <c r="B22" s="287"/>
      <c r="C22" s="287"/>
      <c r="D22" s="287"/>
      <c r="E22" s="287"/>
      <c r="F22" s="287"/>
      <c r="G22" s="287"/>
      <c r="H22" s="287"/>
      <c r="I22" s="287"/>
      <c r="J22" s="287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</row>
    <row r="23" spans="1:21" ht="24.75" customHeight="1">
      <c r="A23" s="283" t="str">
        <f>Меню!A83</f>
        <v>Картофель толченый по деревенски </v>
      </c>
      <c r="B23" s="283" t="str">
        <f>Меню!A188</f>
        <v>Рис отварной </v>
      </c>
      <c r="C23" s="286"/>
      <c r="D23" s="283" t="str">
        <f>Меню!A403</f>
        <v>Каша гречневая вязкая </v>
      </c>
      <c r="E23" s="283" t="str">
        <f>Меню!A492</f>
        <v>Картофель толченый по деревенски </v>
      </c>
      <c r="F23" s="283" t="str">
        <f>Меню!A627</f>
        <v>Овощи тушеные в соусе </v>
      </c>
      <c r="G23" s="283" t="str">
        <f>Меню!A730</f>
        <v>Рис отварной </v>
      </c>
      <c r="H23" s="283" t="str">
        <f>Меню!A838</f>
        <v>Капуста тушённая</v>
      </c>
      <c r="I23" s="283" t="str">
        <f>Меню!A912</f>
        <v>Пюре картофельное </v>
      </c>
      <c r="J23" s="283" t="str">
        <f>Меню!A1031</f>
        <v>Каша гречневая вязкая </v>
      </c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</row>
    <row r="24" spans="1:21" ht="29.25" customHeight="1">
      <c r="A24" s="283" t="str">
        <f>Меню!A92</f>
        <v>Сок в ассортименте </v>
      </c>
      <c r="B24" s="283" t="str">
        <f>Меню!A192</f>
        <v>Сок в ассортименте </v>
      </c>
      <c r="C24" s="283" t="str">
        <f>Меню!A290</f>
        <v>Кисель из свежих ягод</v>
      </c>
      <c r="D24" s="283" t="str">
        <f>Меню!A407</f>
        <v>Сок в ассортименте </v>
      </c>
      <c r="E24" s="283" t="str">
        <f>Меню!A501</f>
        <v>Компот из свежемороженой вишни  </v>
      </c>
      <c r="F24" s="283" t="str">
        <f>Меню!A643</f>
        <v>Сок в ассортименте </v>
      </c>
      <c r="G24" s="283" t="str">
        <f>Меню!A734</f>
        <v>Компот из свежемороженой смородины  </v>
      </c>
      <c r="H24" s="283" t="str">
        <f>Меню!A847</f>
        <v>Компот из кураги </v>
      </c>
      <c r="I24" s="283" t="str">
        <f>Меню!A923</f>
        <v>Кисель из свежих ягод</v>
      </c>
      <c r="J24" s="283" t="str">
        <f>Меню!A1035</f>
        <v>Сок в ассортименте </v>
      </c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</row>
    <row r="25" spans="1:21" ht="27" customHeight="1">
      <c r="A25" s="287" t="str">
        <f>Меню!A94</f>
        <v>Компот из кураги </v>
      </c>
      <c r="B25" s="287" t="str">
        <f>Меню!A194</f>
        <v>Компот из яблок и апельсин  </v>
      </c>
      <c r="C25" s="167"/>
      <c r="D25" s="287" t="str">
        <f>Меню!A409</f>
        <v>Компот из свежих яблок с ягодами </v>
      </c>
      <c r="E25" s="167"/>
      <c r="F25" s="287" t="str">
        <f>Меню!A645</f>
        <v>Компот из сухофруктов </v>
      </c>
      <c r="G25" s="167"/>
      <c r="H25" s="167"/>
      <c r="I25" s="167"/>
      <c r="J25" s="287" t="str">
        <f>Меню!A1037</f>
        <v>Компот из урюка </v>
      </c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</row>
    <row r="26" spans="1:10" ht="12.75">
      <c r="A26" s="265">
        <v>1</v>
      </c>
      <c r="B26" s="265">
        <v>2</v>
      </c>
      <c r="C26" s="265">
        <v>3</v>
      </c>
      <c r="D26" s="265">
        <v>4</v>
      </c>
      <c r="E26" s="265">
        <v>5</v>
      </c>
      <c r="F26" s="265">
        <v>6</v>
      </c>
      <c r="G26" s="265">
        <v>7</v>
      </c>
      <c r="H26" s="265">
        <v>8</v>
      </c>
      <c r="I26" s="265">
        <v>9</v>
      </c>
      <c r="J26" s="265">
        <v>10</v>
      </c>
    </row>
  </sheetData>
  <sheetProtection password="CF52" sheet="1"/>
  <mergeCells count="3">
    <mergeCell ref="A1:J1"/>
    <mergeCell ref="A12:J12"/>
    <mergeCell ref="A3:J3"/>
  </mergeCells>
  <printOptions horizontalCentered="1"/>
  <pageMargins left="0" right="0" top="0" bottom="0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2022-07-15T06:10:55Z</cp:lastPrinted>
  <dcterms:created xsi:type="dcterms:W3CDTF">1996-10-08T23:32:33Z</dcterms:created>
  <dcterms:modified xsi:type="dcterms:W3CDTF">2022-08-01T06:11:06Z</dcterms:modified>
  <cp:category/>
  <cp:version/>
  <cp:contentType/>
  <cp:contentStatus/>
</cp:coreProperties>
</file>